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trlProps/ctrlProp1.xml" ContentType="application/vnd.ms-excel.controlproperti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trlProps/ctrlProp2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ctrlProps/ctrlProp3.xml" ContentType="application/vnd.ms-excel.controlproperties+xml"/>
  <Override PartName="/xl/comments1.xml" ContentType="application/vnd.openxmlformats-officedocument.spreadsheetml.comment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0.bin" ContentType="application/vnd.openxmlformats-officedocument.oleObject"/>
  <Override PartName="/xl/embeddings/oleObject31.bin" ContentType="application/vnd.openxmlformats-officedocument.oleObject"/>
  <Override PartName="/xl/embeddings/oleObject32.bin" ContentType="application/vnd.openxmlformats-officedocument.oleObject"/>
  <Override PartName="/xl/embeddings/oleObject33.bin" ContentType="application/vnd.openxmlformats-officedocument.oleObject"/>
  <Override PartName="/xl/embeddings/oleObject34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39.bin" ContentType="application/vnd.openxmlformats-officedocument.oleObject"/>
  <Override PartName="/xl/embeddings/oleObject40.bin" ContentType="application/vnd.openxmlformats-officedocument.oleObject"/>
  <Override PartName="/xl/embeddings/oleObject41.bin" ContentType="application/vnd.openxmlformats-officedocument.oleObject"/>
  <Override PartName="/xl/embeddings/oleObject42.bin" ContentType="application/vnd.openxmlformats-officedocument.oleObject"/>
  <Override PartName="/xl/embeddings/oleObject43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embeddings/oleObject46.bin" ContentType="application/vnd.openxmlformats-officedocument.oleObject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embeddings/oleObject47.bin" ContentType="application/vnd.openxmlformats-officedocument.oleObject"/>
  <Override PartName="/xl/embeddings/oleObject48.bin" ContentType="application/vnd.openxmlformats-officedocument.oleObject"/>
  <Override PartName="/xl/embeddings/oleObject49.bin" ContentType="application/vnd.openxmlformats-officedocument.oleObject"/>
  <Override PartName="/xl/embeddings/oleObject50.bin" ContentType="application/vnd.openxmlformats-officedocument.oleObject"/>
  <Override PartName="/xl/embeddings/oleObject51.bin" ContentType="application/vnd.openxmlformats-officedocument.oleObject"/>
  <Override PartName="/xl/embeddings/oleObject52.bin" ContentType="application/vnd.openxmlformats-officedocument.oleObject"/>
  <Override PartName="/xl/embeddings/oleObject53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xl/embeddings/oleObject56.bin" ContentType="application/vnd.openxmlformats-officedocument.oleObject"/>
  <Override PartName="/xl/embeddings/oleObject57.bin" ContentType="application/vnd.openxmlformats-officedocument.oleObject"/>
  <Override PartName="/xl/embeddings/oleObject58.bin" ContentType="application/vnd.openxmlformats-officedocument.oleObject"/>
  <Override PartName="/xl/embeddings/oleObject59.bin" ContentType="application/vnd.openxmlformats-officedocument.oleObject"/>
  <Override PartName="/xl/embeddings/oleObject60.bin" ContentType="application/vnd.openxmlformats-officedocument.oleObject"/>
  <Override PartName="/xl/embeddings/oleObject61.bin" ContentType="application/vnd.openxmlformats-officedocument.oleObject"/>
  <Override PartName="/xl/embeddings/oleObject62.bin" ContentType="application/vnd.openxmlformats-officedocument.oleObject"/>
  <Override PartName="/xl/embeddings/oleObject63.bin" ContentType="application/vnd.openxmlformats-officedocument.oleObject"/>
  <Override PartName="/xl/embeddings/oleObject64.bin" ContentType="application/vnd.openxmlformats-officedocument.oleObject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embeddings/oleObject65.bin" ContentType="application/vnd.openxmlformats-officedocument.oleObject"/>
  <Override PartName="/xl/embeddings/oleObject66.bin" ContentType="application/vnd.openxmlformats-officedocument.oleObject"/>
  <Override PartName="/xl/embeddings/oleObject67.bin" ContentType="application/vnd.openxmlformats-officedocument.oleObject"/>
  <Override PartName="/xl/embeddings/oleObject68.bin" ContentType="application/vnd.openxmlformats-officedocument.oleObject"/>
  <Override PartName="/xl/embeddings/oleObject69.bin" ContentType="application/vnd.openxmlformats-officedocument.oleObject"/>
  <Override PartName="/xl/embeddings/oleObject70.bin" ContentType="application/vnd.openxmlformats-officedocument.oleObject"/>
  <Override PartName="/xl/embeddings/oleObject71.bin" ContentType="application/vnd.openxmlformats-officedocument.oleObject"/>
  <Override PartName="/xl/embeddings/oleObject72.bin" ContentType="application/vnd.openxmlformats-officedocument.oleObject"/>
  <Override PartName="/xl/embeddings/oleObject73.bin" ContentType="application/vnd.openxmlformats-officedocument.oleObject"/>
  <Override PartName="/xl/embeddings/oleObject74.bin" ContentType="application/vnd.openxmlformats-officedocument.oleObject"/>
  <Override PartName="/xl/embeddings/oleObject75.bin" ContentType="application/vnd.openxmlformats-officedocument.oleObject"/>
  <Override PartName="/xl/embeddings/oleObject76.bin" ContentType="application/vnd.openxmlformats-officedocument.oleObject"/>
  <Override PartName="/xl/embeddings/oleObject77.bin" ContentType="application/vnd.openxmlformats-officedocument.oleObject"/>
  <Override PartName="/xl/embeddings/oleObject78.bin" ContentType="application/vnd.openxmlformats-officedocument.oleObject"/>
  <Override PartName="/xl/embeddings/oleObject79.bin" ContentType="application/vnd.openxmlformats-officedocument.oleObject"/>
  <Override PartName="/xl/embeddings/oleObject80.bin" ContentType="application/vnd.openxmlformats-officedocument.oleObject"/>
  <Override PartName="/xl/embeddings/oleObject81.bin" ContentType="application/vnd.openxmlformats-officedocument.oleObject"/>
  <Override PartName="/xl/embeddings/oleObject82.bin" ContentType="application/vnd.openxmlformats-officedocument.oleObject"/>
  <Override PartName="/xl/embeddings/oleObject83.bin" ContentType="application/vnd.openxmlformats-officedocument.oleObject"/>
  <Override PartName="/xl/embeddings/oleObject84.bin" ContentType="application/vnd.openxmlformats-officedocument.oleObject"/>
  <Override PartName="/xl/embeddings/oleObject85.bin" ContentType="application/vnd.openxmlformats-officedocument.oleObject"/>
  <Override PartName="/xl/embeddings/oleObject86.bin" ContentType="application/vnd.openxmlformats-officedocument.oleObject"/>
  <Override PartName="/xl/embeddings/oleObject87.bin" ContentType="application/vnd.openxmlformats-officedocument.oleObject"/>
  <Override PartName="/xl/embeddings/oleObject88.bin" ContentType="application/vnd.openxmlformats-officedocument.oleObject"/>
  <Override PartName="/xl/embeddings/oleObject89.bin" ContentType="application/vnd.openxmlformats-officedocument.oleObject"/>
  <Override PartName="/xl/embeddings/oleObject90.bin" ContentType="application/vnd.openxmlformats-officedocument.oleObject"/>
  <Override PartName="/xl/embeddings/oleObject91.bin" ContentType="application/vnd.openxmlformats-officedocument.oleObject"/>
  <Override PartName="/xl/embeddings/oleObject92.bin" ContentType="application/vnd.openxmlformats-officedocument.oleObject"/>
  <Override PartName="/xl/embeddings/oleObject93.bin" ContentType="application/vnd.openxmlformats-officedocument.oleObject"/>
  <Override PartName="/xl/embeddings/oleObject94.bin" ContentType="application/vnd.openxmlformats-officedocument.oleObject"/>
  <Override PartName="/xl/embeddings/oleObject95.bin" ContentType="application/vnd.openxmlformats-officedocument.oleObject"/>
  <Override PartName="/xl/embeddings/oleObject96.bin" ContentType="application/vnd.openxmlformats-officedocument.oleObject"/>
  <Override PartName="/xl/embeddings/oleObject97.bin" ContentType="application/vnd.openxmlformats-officedocument.oleObject"/>
  <Override PartName="/xl/embeddings/oleObject98.bin" ContentType="application/vnd.openxmlformats-officedocument.oleObject"/>
  <Override PartName="/xl/embeddings/oleObject99.bin" ContentType="application/vnd.openxmlformats-officedocument.oleObject"/>
  <Override PartName="/xl/embeddings/oleObject100.bin" ContentType="application/vnd.openxmlformats-officedocument.oleObject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embeddings/oleObject101.bin" ContentType="application/vnd.openxmlformats-officedocument.oleObject"/>
  <Override PartName="/xl/embeddings/oleObject102.bin" ContentType="application/vnd.openxmlformats-officedocument.oleObject"/>
  <Override PartName="/xl/embeddings/oleObject103.bin" ContentType="application/vnd.openxmlformats-officedocument.oleObject"/>
  <Override PartName="/xl/embeddings/oleObject104.bin" ContentType="application/vnd.openxmlformats-officedocument.oleObject"/>
  <Override PartName="/xl/embeddings/oleObject105.bin" ContentType="application/vnd.openxmlformats-officedocument.oleObject"/>
  <Override PartName="/xl/embeddings/oleObject106.bin" ContentType="application/vnd.openxmlformats-officedocument.oleObject"/>
  <Override PartName="/xl/embeddings/oleObject107.bin" ContentType="application/vnd.openxmlformats-officedocument.oleObject"/>
  <Override PartName="/xl/embeddings/oleObject108.bin" ContentType="application/vnd.openxmlformats-officedocument.oleObject"/>
  <Override PartName="/xl/embeddings/oleObject109.bin" ContentType="application/vnd.openxmlformats-officedocument.oleObject"/>
  <Override PartName="/xl/embeddings/oleObject110.bin" ContentType="application/vnd.openxmlformats-officedocument.oleObject"/>
  <Override PartName="/xl/embeddings/oleObject111.bin" ContentType="application/vnd.openxmlformats-officedocument.oleObject"/>
  <Override PartName="/xl/embeddings/oleObject112.bin" ContentType="application/vnd.openxmlformats-officedocument.oleObject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embeddings/oleObject113.bin" ContentType="application/vnd.openxmlformats-officedocument.oleObject"/>
  <Override PartName="/xl/embeddings/oleObject114.bin" ContentType="application/vnd.openxmlformats-officedocument.oleObject"/>
  <Override PartName="/xl/embeddings/oleObject115.bin" ContentType="application/vnd.openxmlformats-officedocument.oleObject"/>
  <Override PartName="/xl/embeddings/oleObject116.bin" ContentType="application/vnd.openxmlformats-officedocument.oleObject"/>
  <Override PartName="/xl/embeddings/oleObject117.bin" ContentType="application/vnd.openxmlformats-officedocument.oleObject"/>
  <Override PartName="/xl/embeddings/oleObject118.bin" ContentType="application/vnd.openxmlformats-officedocument.oleObject"/>
  <Override PartName="/xl/embeddings/oleObject119.bin" ContentType="application/vnd.openxmlformats-officedocument.oleObject"/>
  <Override PartName="/xl/embeddings/oleObject120.bin" ContentType="application/vnd.openxmlformats-officedocument.oleObject"/>
  <Override PartName="/xl/embeddings/oleObject121.bin" ContentType="application/vnd.openxmlformats-officedocument.oleObject"/>
  <Override PartName="/xl/embeddings/oleObject122.bin" ContentType="application/vnd.openxmlformats-officedocument.oleObject"/>
  <Override PartName="/xl/embeddings/oleObject123.bin" ContentType="application/vnd.openxmlformats-officedocument.oleObject"/>
  <Override PartName="/xl/embeddings/oleObject124.bin" ContentType="application/vnd.openxmlformats-officedocument.oleObject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omments6.xml" ContentType="application/vnd.openxmlformats-officedocument.spreadsheetml.comments+xml"/>
  <Override PartName="/xl/drawings/drawing10.xml" ContentType="application/vnd.openxmlformats-officedocument.drawing+xml"/>
  <Override PartName="/xl/embeddings/oleObject125.bin" ContentType="application/vnd.openxmlformats-officedocument.oleObject"/>
  <Override PartName="/xl/embeddings/oleObject126.bin" ContentType="application/vnd.openxmlformats-officedocument.oleObject"/>
  <Override PartName="/xl/embeddings/oleObject127.bin" ContentType="application/vnd.openxmlformats-officedocument.oleObject"/>
  <Override PartName="/xl/embeddings/oleObject128.bin" ContentType="application/vnd.openxmlformats-officedocument.oleObject"/>
  <Override PartName="/xl/embeddings/oleObject129.bin" ContentType="application/vnd.openxmlformats-officedocument.oleObject"/>
  <Override PartName="/xl/embeddings/oleObject130.bin" ContentType="application/vnd.openxmlformats-officedocument.oleObject"/>
  <Override PartName="/xl/embeddings/oleObject131.bin" ContentType="application/vnd.openxmlformats-officedocument.oleObject"/>
  <Override PartName="/xl/embeddings/oleObject132.bin" ContentType="application/vnd.openxmlformats-officedocument.oleObject"/>
  <Override PartName="/xl/embeddings/oleObject133.bin" ContentType="application/vnd.openxmlformats-officedocument.oleObject"/>
  <Override PartName="/xl/embeddings/oleObject134.bin" ContentType="application/vnd.openxmlformats-officedocument.oleObject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eubauerj\Desktop\STAT1\"/>
    </mc:Choice>
  </mc:AlternateContent>
  <workbookProtection workbookPassword="DBEF" lockStructure="1"/>
  <bookViews>
    <workbookView xWindow="0" yWindow="0" windowWidth="14870" windowHeight="7320" tabRatio="736" firstSheet="1" activeTab="1"/>
  </bookViews>
  <sheets>
    <sheet name="pomocny" sheetId="23" state="hidden" r:id="rId1"/>
    <sheet name="titul" sheetId="30" r:id="rId2"/>
    <sheet name="data" sheetId="18" r:id="rId3"/>
    <sheet name="popisné charakteristiky" sheetId="29" r:id="rId4"/>
    <sheet name="bodové rozdělení" sheetId="17" r:id="rId5"/>
    <sheet name="intervalové rozdělení" sheetId="10" r:id="rId6"/>
    <sheet name="1V - normální" sheetId="12" r:id="rId7"/>
    <sheet name="1V - libovolné" sheetId="24" r:id="rId8"/>
    <sheet name="2V - normální" sheetId="14" r:id="rId9"/>
    <sheet name="2V - libovolné" sheetId="26" r:id="rId10"/>
    <sheet name="2V - párový test" sheetId="27" r:id="rId11"/>
    <sheet name="1V a 2V - podíly" sheetId="31" r:id="rId12"/>
    <sheet name="kontingenční tabulka" sheetId="34" r:id="rId13"/>
    <sheet name="tabulky " sheetId="33" r:id="rId14"/>
    <sheet name="tabulky_old" sheetId="32" state="hidden" r:id="rId15"/>
    <sheet name="tabulky_old2" sheetId="28" state="hidden" r:id="rId16"/>
  </sheets>
  <externalReferences>
    <externalReference r:id="rId17"/>
    <externalReference r:id="rId18"/>
    <externalReference r:id="rId19"/>
  </externalReferences>
  <definedNames>
    <definedName name="_xlnm._FilterDatabase" localSheetId="2" hidden="1">data!$A$1:$CC$201</definedName>
    <definedName name="kkk">[1]pomocny!$E$2:$E$257</definedName>
    <definedName name="název" localSheetId="12">[2]pomocny!$E$2:$E$257</definedName>
    <definedName name="název" localSheetId="14">[3]pomocny!$E$2:$E$257</definedName>
    <definedName name="název">pomocny!$E$2:$E$257</definedName>
  </definedNames>
  <calcPr calcId="152511"/>
</workbook>
</file>

<file path=xl/calcChain.xml><?xml version="1.0" encoding="utf-8"?>
<calcChain xmlns="http://schemas.openxmlformats.org/spreadsheetml/2006/main">
  <c r="AA4" i="34" l="1"/>
  <c r="Q6" i="34" s="1"/>
  <c r="R6" i="34" s="1"/>
  <c r="L5" i="34"/>
  <c r="AA5" i="34"/>
  <c r="L6" i="34"/>
  <c r="N6" i="34"/>
  <c r="L7" i="34"/>
  <c r="L8" i="34"/>
  <c r="L9" i="34"/>
  <c r="L10" i="34"/>
  <c r="L11" i="34"/>
  <c r="L12" i="34"/>
  <c r="L13" i="34"/>
  <c r="L14" i="34"/>
  <c r="B15" i="34"/>
  <c r="C15" i="34"/>
  <c r="D15" i="34"/>
  <c r="E15" i="34"/>
  <c r="F15" i="34"/>
  <c r="G15" i="34"/>
  <c r="H15" i="34"/>
  <c r="I15" i="34"/>
  <c r="J15" i="34"/>
  <c r="K15" i="34"/>
  <c r="L15" i="34" l="1"/>
  <c r="K29" i="34" s="1"/>
  <c r="C22" i="34"/>
  <c r="G25" i="34"/>
  <c r="J24" i="34"/>
  <c r="C21" i="34"/>
  <c r="M18" i="33"/>
  <c r="H18" i="33"/>
  <c r="C18" i="33"/>
  <c r="AD14" i="33"/>
  <c r="R14" i="33"/>
  <c r="M14" i="33"/>
  <c r="H14" i="33"/>
  <c r="C14" i="33"/>
  <c r="Y13" i="33"/>
  <c r="S12" i="33"/>
  <c r="R12" i="33"/>
  <c r="N12" i="33"/>
  <c r="M12" i="33"/>
  <c r="I12" i="33"/>
  <c r="H12" i="33"/>
  <c r="D12" i="33"/>
  <c r="C12" i="33"/>
  <c r="AD8" i="33"/>
  <c r="Y7" i="33"/>
  <c r="N6" i="33"/>
  <c r="M6" i="33"/>
  <c r="I6" i="33"/>
  <c r="H6" i="33"/>
  <c r="D6" i="33"/>
  <c r="C6" i="33"/>
  <c r="I24" i="34" l="1"/>
  <c r="I38" i="34" s="1"/>
  <c r="G29" i="34"/>
  <c r="G43" i="34" s="1"/>
  <c r="K25" i="34"/>
  <c r="F28" i="34"/>
  <c r="H27" i="34"/>
  <c r="AF27" i="34" s="1"/>
  <c r="J29" i="34"/>
  <c r="G27" i="34"/>
  <c r="H21" i="34"/>
  <c r="C25" i="34"/>
  <c r="AA25" i="34" s="1"/>
  <c r="E28" i="34"/>
  <c r="AC28" i="34" s="1"/>
  <c r="H23" i="34"/>
  <c r="C20" i="34"/>
  <c r="K21" i="34"/>
  <c r="AI21" i="34" s="1"/>
  <c r="E24" i="34"/>
  <c r="D25" i="34"/>
  <c r="K26" i="34"/>
  <c r="K40" i="34" s="1"/>
  <c r="H29" i="34"/>
  <c r="H43" i="34" s="1"/>
  <c r="B29" i="34"/>
  <c r="Z29" i="34" s="1"/>
  <c r="E22" i="34"/>
  <c r="C28" i="34"/>
  <c r="AA28" i="34" s="1"/>
  <c r="J20" i="34"/>
  <c r="J34" i="34" s="1"/>
  <c r="G28" i="34"/>
  <c r="J25" i="34"/>
  <c r="B28" i="34"/>
  <c r="L28" i="34" s="1"/>
  <c r="J22" i="34"/>
  <c r="AH22" i="34" s="1"/>
  <c r="C29" i="34"/>
  <c r="C43" i="34" s="1"/>
  <c r="B20" i="34"/>
  <c r="H24" i="34"/>
  <c r="E25" i="34"/>
  <c r="AC25" i="34" s="1"/>
  <c r="J28" i="34"/>
  <c r="K22" i="34"/>
  <c r="C24" i="34"/>
  <c r="AA24" i="34" s="1"/>
  <c r="B21" i="34"/>
  <c r="Z21" i="34" s="1"/>
  <c r="D21" i="34"/>
  <c r="D35" i="34" s="1"/>
  <c r="G23" i="34"/>
  <c r="B25" i="34"/>
  <c r="Z25" i="34" s="1"/>
  <c r="H28" i="34"/>
  <c r="H42" i="34" s="1"/>
  <c r="F22" i="34"/>
  <c r="K23" i="34"/>
  <c r="J21" i="34"/>
  <c r="B24" i="34"/>
  <c r="Z24" i="34" s="1"/>
  <c r="E20" i="34"/>
  <c r="AC20" i="34" s="1"/>
  <c r="K28" i="34"/>
  <c r="H22" i="34"/>
  <c r="AF22" i="34" s="1"/>
  <c r="G22" i="34"/>
  <c r="G36" i="34" s="1"/>
  <c r="K20" i="34"/>
  <c r="K43" i="34"/>
  <c r="AI29" i="34"/>
  <c r="E39" i="34"/>
  <c r="AD22" i="34"/>
  <c r="F36" i="34"/>
  <c r="AH21" i="34"/>
  <c r="J35" i="34"/>
  <c r="AE23" i="34"/>
  <c r="G37" i="34"/>
  <c r="J39" i="34"/>
  <c r="AH25" i="34"/>
  <c r="J42" i="34"/>
  <c r="AH28" i="34"/>
  <c r="AE22" i="34"/>
  <c r="C38" i="34"/>
  <c r="C35" i="34"/>
  <c r="AA21" i="34"/>
  <c r="AH24" i="34"/>
  <c r="J38" i="34"/>
  <c r="B42" i="34"/>
  <c r="Z28" i="34"/>
  <c r="H37" i="34"/>
  <c r="AF23" i="34"/>
  <c r="E36" i="34"/>
  <c r="AC22" i="34"/>
  <c r="K35" i="34"/>
  <c r="G21" i="34"/>
  <c r="H25" i="34"/>
  <c r="C26" i="34"/>
  <c r="I28" i="34"/>
  <c r="H20" i="34"/>
  <c r="D22" i="34"/>
  <c r="K27" i="34"/>
  <c r="AF29" i="34"/>
  <c r="AE25" i="34"/>
  <c r="G39" i="34"/>
  <c r="AI23" i="34"/>
  <c r="K37" i="34"/>
  <c r="C36" i="34"/>
  <c r="AA22" i="34"/>
  <c r="AH29" i="34"/>
  <c r="J43" i="34"/>
  <c r="B34" i="34"/>
  <c r="Z20" i="34"/>
  <c r="AF21" i="34"/>
  <c r="H35" i="34"/>
  <c r="K39" i="34"/>
  <c r="AI25" i="34"/>
  <c r="AI26" i="34"/>
  <c r="H26" i="34"/>
  <c r="B22" i="34"/>
  <c r="C27" i="34"/>
  <c r="AE28" i="34"/>
  <c r="G42" i="34"/>
  <c r="C34" i="34"/>
  <c r="AA20" i="34"/>
  <c r="AC24" i="34"/>
  <c r="E38" i="34"/>
  <c r="K42" i="34"/>
  <c r="AI28" i="34"/>
  <c r="K36" i="34"/>
  <c r="AI22" i="34"/>
  <c r="B43" i="34"/>
  <c r="AE27" i="34"/>
  <c r="G41" i="34"/>
  <c r="D39" i="34"/>
  <c r="AB25" i="34"/>
  <c r="H36" i="34"/>
  <c r="K34" i="34"/>
  <c r="AI20" i="34"/>
  <c r="AF24" i="34"/>
  <c r="H38" i="34"/>
  <c r="C39" i="34"/>
  <c r="AD28" i="34"/>
  <c r="F42" i="34"/>
  <c r="F23" i="34"/>
  <c r="D26" i="34"/>
  <c r="F27" i="34"/>
  <c r="G26" i="34"/>
  <c r="I20" i="34"/>
  <c r="E26" i="34"/>
  <c r="E21" i="34"/>
  <c r="I23" i="34"/>
  <c r="F26" i="34"/>
  <c r="D29" i="34"/>
  <c r="I26" i="34"/>
  <c r="F20" i="34"/>
  <c r="D23" i="34"/>
  <c r="F24" i="34"/>
  <c r="B26" i="34"/>
  <c r="J26" i="34"/>
  <c r="D27" i="34"/>
  <c r="D20" i="34"/>
  <c r="B23" i="34"/>
  <c r="I27" i="34"/>
  <c r="F29" i="34"/>
  <c r="E27" i="34"/>
  <c r="G20" i="34"/>
  <c r="E23" i="34"/>
  <c r="J27" i="34"/>
  <c r="I29" i="34"/>
  <c r="F25" i="34"/>
  <c r="G24" i="34"/>
  <c r="J23" i="34"/>
  <c r="D28" i="34"/>
  <c r="I25" i="34"/>
  <c r="F21" i="34"/>
  <c r="D24" i="34"/>
  <c r="B27" i="34"/>
  <c r="I21" i="34"/>
  <c r="E29" i="34"/>
  <c r="I22" i="34"/>
  <c r="C23" i="34"/>
  <c r="K24" i="34"/>
  <c r="AB21" i="34"/>
  <c r="G18" i="32"/>
  <c r="B17" i="32"/>
  <c r="G12" i="32"/>
  <c r="B11" i="32"/>
  <c r="G5" i="32"/>
  <c r="B4" i="32"/>
  <c r="L29" i="34" l="1"/>
  <c r="AH20" i="34"/>
  <c r="AE29" i="34"/>
  <c r="AG24" i="34"/>
  <c r="B39" i="34"/>
  <c r="B44" i="34" s="1"/>
  <c r="C42" i="34"/>
  <c r="AA29" i="34"/>
  <c r="L24" i="34"/>
  <c r="E34" i="34"/>
  <c r="J30" i="34"/>
  <c r="L20" i="34"/>
  <c r="J36" i="34"/>
  <c r="AF28" i="34"/>
  <c r="AJ28" i="34" s="1"/>
  <c r="B35" i="34"/>
  <c r="H41" i="34"/>
  <c r="B38" i="34"/>
  <c r="E42" i="34"/>
  <c r="AG25" i="34"/>
  <c r="I39" i="34"/>
  <c r="L22" i="34"/>
  <c r="Z22" i="34"/>
  <c r="B36" i="34"/>
  <c r="AA23" i="34"/>
  <c r="C37" i="34"/>
  <c r="AB28" i="34"/>
  <c r="D42" i="34"/>
  <c r="E41" i="34"/>
  <c r="AC27" i="34"/>
  <c r="AD24" i="34"/>
  <c r="F38" i="34"/>
  <c r="E40" i="34"/>
  <c r="AC26" i="34"/>
  <c r="H40" i="34"/>
  <c r="AF26" i="34"/>
  <c r="B30" i="34"/>
  <c r="AI27" i="34"/>
  <c r="K41" i="34"/>
  <c r="AG22" i="34"/>
  <c r="I36" i="34"/>
  <c r="J37" i="34"/>
  <c r="AH23" i="34"/>
  <c r="F43" i="34"/>
  <c r="AD29" i="34"/>
  <c r="AB23" i="34"/>
  <c r="D37" i="34"/>
  <c r="I34" i="34"/>
  <c r="I30" i="34"/>
  <c r="AG20" i="34"/>
  <c r="C30" i="34"/>
  <c r="AB22" i="34"/>
  <c r="D36" i="34"/>
  <c r="L26" i="34"/>
  <c r="Z26" i="34"/>
  <c r="B40" i="34"/>
  <c r="I41" i="34"/>
  <c r="AG27" i="34"/>
  <c r="F39" i="34"/>
  <c r="AD25" i="34"/>
  <c r="AJ25" i="34" s="1"/>
  <c r="F41" i="34"/>
  <c r="AD27" i="34"/>
  <c r="I42" i="34"/>
  <c r="AG28" i="34"/>
  <c r="L27" i="34"/>
  <c r="B41" i="34"/>
  <c r="Z27" i="34"/>
  <c r="AG29" i="34"/>
  <c r="I43" i="34"/>
  <c r="D30" i="34"/>
  <c r="AB20" i="34"/>
  <c r="D34" i="34"/>
  <c r="AB29" i="34"/>
  <c r="D43" i="34"/>
  <c r="AB26" i="34"/>
  <c r="D40" i="34"/>
  <c r="AA26" i="34"/>
  <c r="C40" i="34"/>
  <c r="AI24" i="34"/>
  <c r="K38" i="34"/>
  <c r="K44" i="34" s="1"/>
  <c r="AC21" i="34"/>
  <c r="AJ21" i="34" s="1"/>
  <c r="E35" i="34"/>
  <c r="AE24" i="34"/>
  <c r="G38" i="34"/>
  <c r="AD20" i="34"/>
  <c r="F30" i="34"/>
  <c r="F34" i="34"/>
  <c r="AF20" i="34"/>
  <c r="H30" i="34"/>
  <c r="H34" i="34"/>
  <c r="L25" i="34"/>
  <c r="AG21" i="34"/>
  <c r="I35" i="34"/>
  <c r="AG26" i="34"/>
  <c r="I40" i="34"/>
  <c r="D38" i="34"/>
  <c r="L38" i="34" s="1"/>
  <c r="AB24" i="34"/>
  <c r="J41" i="34"/>
  <c r="AH27" i="34"/>
  <c r="D41" i="34"/>
  <c r="AB27" i="34"/>
  <c r="AD26" i="34"/>
  <c r="F40" i="34"/>
  <c r="AD23" i="34"/>
  <c r="F37" i="34"/>
  <c r="AF25" i="34"/>
  <c r="H39" i="34"/>
  <c r="L39" i="34" s="1"/>
  <c r="AE20" i="34"/>
  <c r="G34" i="34"/>
  <c r="G30" i="34"/>
  <c r="K30" i="34"/>
  <c r="AC29" i="34"/>
  <c r="E43" i="34"/>
  <c r="G40" i="34"/>
  <c r="AE26" i="34"/>
  <c r="AJ24" i="34"/>
  <c r="B37" i="34"/>
  <c r="L23" i="34"/>
  <c r="Z23" i="34"/>
  <c r="F35" i="34"/>
  <c r="AD21" i="34"/>
  <c r="AC23" i="34"/>
  <c r="E37" i="34"/>
  <c r="E44" i="34" s="1"/>
  <c r="AH26" i="34"/>
  <c r="J40" i="34"/>
  <c r="I37" i="34"/>
  <c r="AG23" i="34"/>
  <c r="J44" i="34"/>
  <c r="AA27" i="34"/>
  <c r="C41" i="34"/>
  <c r="L21" i="34"/>
  <c r="L30" i="34" s="1"/>
  <c r="AE21" i="34"/>
  <c r="G35" i="34"/>
  <c r="E30" i="34"/>
  <c r="K20" i="28"/>
  <c r="G20" i="28"/>
  <c r="B20" i="28"/>
  <c r="AC7" i="28"/>
  <c r="Q15" i="28"/>
  <c r="L6" i="28"/>
  <c r="Q13" i="28"/>
  <c r="R13" i="28"/>
  <c r="L15" i="28"/>
  <c r="M13" i="28"/>
  <c r="L13" i="28"/>
  <c r="G15" i="28"/>
  <c r="B15" i="28"/>
  <c r="H13" i="28"/>
  <c r="G13" i="28"/>
  <c r="C13" i="28"/>
  <c r="B13" i="28"/>
  <c r="K6" i="28"/>
  <c r="G6" i="28"/>
  <c r="F6" i="28"/>
  <c r="C6" i="28"/>
  <c r="B6" i="28"/>
  <c r="A70" i="29"/>
  <c r="A67" i="29"/>
  <c r="B67" i="29" s="1"/>
  <c r="B60" i="29"/>
  <c r="A60" i="29"/>
  <c r="C60" i="29" s="1"/>
  <c r="B63" i="29" s="1"/>
  <c r="B73" i="29" s="1"/>
  <c r="C70" i="29" s="1"/>
  <c r="E70" i="29" s="1"/>
  <c r="B57" i="29"/>
  <c r="A57" i="29"/>
  <c r="C57" i="29" s="1"/>
  <c r="E57" i="29" s="1"/>
  <c r="D73" i="29"/>
  <c r="D70" i="29"/>
  <c r="B70" i="29"/>
  <c r="F67" i="29"/>
  <c r="D63" i="29"/>
  <c r="D60" i="29"/>
  <c r="D57" i="29"/>
  <c r="H3" i="23"/>
  <c r="H4" i="23" s="1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K18" i="23"/>
  <c r="H18" i="23"/>
  <c r="K17" i="23"/>
  <c r="H17" i="23"/>
  <c r="H16" i="23"/>
  <c r="H15" i="23"/>
  <c r="D61" i="10"/>
  <c r="D61" i="17"/>
  <c r="D44" i="29"/>
  <c r="M3" i="23"/>
  <c r="M4" i="23" s="1"/>
  <c r="D58" i="10"/>
  <c r="F55" i="10"/>
  <c r="D58" i="17"/>
  <c r="F55" i="17"/>
  <c r="D41" i="29"/>
  <c r="F38" i="29"/>
  <c r="A5" i="10"/>
  <c r="B5" i="10" s="1"/>
  <c r="C5" i="10" s="1"/>
  <c r="A37" i="31"/>
  <c r="A31" i="31"/>
  <c r="I21" i="31"/>
  <c r="I22" i="31"/>
  <c r="F9" i="31"/>
  <c r="H33" i="24"/>
  <c r="H9" i="24"/>
  <c r="J37" i="31"/>
  <c r="D37" i="31"/>
  <c r="I37" i="31"/>
  <c r="H30" i="31"/>
  <c r="I30" i="31" s="1"/>
  <c r="C30" i="31"/>
  <c r="D30" i="31" s="1"/>
  <c r="F31" i="31" s="1"/>
  <c r="A6" i="31"/>
  <c r="A30" i="24"/>
  <c r="C5" i="31"/>
  <c r="B21" i="31"/>
  <c r="E21" i="31" s="1"/>
  <c r="C21" i="31" s="1"/>
  <c r="A22" i="31"/>
  <c r="A21" i="31"/>
  <c r="L21" i="31"/>
  <c r="D21" i="31" s="1"/>
  <c r="K21" i="31"/>
  <c r="A13" i="31"/>
  <c r="B45" i="24"/>
  <c r="E45" i="24" s="1"/>
  <c r="C45" i="24" s="1"/>
  <c r="I37" i="24"/>
  <c r="A45" i="24"/>
  <c r="J13" i="24"/>
  <c r="A21" i="24"/>
  <c r="B77" i="12"/>
  <c r="G65" i="12"/>
  <c r="I65" i="12"/>
  <c r="E65" i="12" s="1"/>
  <c r="E69" i="12" s="1"/>
  <c r="A77" i="12"/>
  <c r="I76" i="12"/>
  <c r="B61" i="12"/>
  <c r="E61" i="12"/>
  <c r="C61" i="12" s="1"/>
  <c r="I53" i="12"/>
  <c r="J53" i="12"/>
  <c r="F53" i="12" s="1"/>
  <c r="A61" i="12"/>
  <c r="A37" i="12"/>
  <c r="I36" i="12"/>
  <c r="A21" i="12"/>
  <c r="B28" i="27"/>
  <c r="A28" i="27"/>
  <c r="I28" i="27"/>
  <c r="J28" i="27" s="1"/>
  <c r="K21" i="27"/>
  <c r="A12" i="27"/>
  <c r="Y3" i="23"/>
  <c r="Y4" i="23" s="1"/>
  <c r="AB3" i="23"/>
  <c r="AB4" i="23"/>
  <c r="D21" i="26"/>
  <c r="B28" i="26"/>
  <c r="E28" i="26" s="1"/>
  <c r="C28" i="26" s="1"/>
  <c r="I21" i="26"/>
  <c r="I28" i="26"/>
  <c r="J28" i="26"/>
  <c r="D28" i="26"/>
  <c r="A28" i="26"/>
  <c r="I12" i="26"/>
  <c r="A12" i="26"/>
  <c r="J12" i="26"/>
  <c r="D12" i="26" s="1"/>
  <c r="D36" i="14"/>
  <c r="I36" i="14"/>
  <c r="K41" i="14"/>
  <c r="M43" i="14" s="1"/>
  <c r="L41" i="14"/>
  <c r="K43" i="14" s="1"/>
  <c r="D43" i="14" s="1"/>
  <c r="I50" i="14"/>
  <c r="K50" i="14" s="1"/>
  <c r="D50" i="14" s="1"/>
  <c r="A58" i="14"/>
  <c r="A50" i="14"/>
  <c r="A43" i="14"/>
  <c r="A27" i="14"/>
  <c r="S3" i="23"/>
  <c r="S4" i="23" s="1"/>
  <c r="V3" i="23"/>
  <c r="V4" i="23" s="1"/>
  <c r="A19" i="14"/>
  <c r="A12" i="14"/>
  <c r="N21" i="26"/>
  <c r="N36" i="14"/>
  <c r="J29" i="24"/>
  <c r="K45" i="12"/>
  <c r="D45" i="12"/>
  <c r="B49" i="12" s="1"/>
  <c r="D29" i="24"/>
  <c r="D49" i="12"/>
  <c r="D33" i="24"/>
  <c r="B33" i="24"/>
  <c r="A22" i="26"/>
  <c r="A46" i="24"/>
  <c r="A65" i="12"/>
  <c r="A69" i="12" s="1"/>
  <c r="K53" i="12"/>
  <c r="D61" i="12" s="1"/>
  <c r="A53" i="12"/>
  <c r="H49" i="12"/>
  <c r="C49" i="12"/>
  <c r="A49" i="12"/>
  <c r="J37" i="24"/>
  <c r="C37" i="24" s="1"/>
  <c r="A37" i="24"/>
  <c r="C33" i="24"/>
  <c r="A33" i="24"/>
  <c r="D51" i="10"/>
  <c r="D48" i="10"/>
  <c r="D45" i="10"/>
  <c r="D51" i="17"/>
  <c r="D48" i="17"/>
  <c r="D28" i="29"/>
  <c r="D45" i="17"/>
  <c r="D34" i="29"/>
  <c r="D31" i="29"/>
  <c r="J3" i="23"/>
  <c r="J4" i="23" s="1"/>
  <c r="AC20" i="28"/>
  <c r="X19" i="28"/>
  <c r="C7" i="23"/>
  <c r="V12" i="23"/>
  <c r="V13" i="23" s="1"/>
  <c r="C129" i="23"/>
  <c r="S12" i="23"/>
  <c r="S13" i="23" s="1"/>
  <c r="C128" i="23"/>
  <c r="P12" i="23"/>
  <c r="P13" i="23" s="1"/>
  <c r="H9" i="12"/>
  <c r="C5" i="23"/>
  <c r="X6" i="28"/>
  <c r="X13" i="28"/>
  <c r="AC14" i="28"/>
  <c r="C122" i="23"/>
  <c r="C121" i="23"/>
  <c r="C123" i="23"/>
  <c r="C115" i="23"/>
  <c r="C112" i="23"/>
  <c r="C116" i="23"/>
  <c r="C113" i="23"/>
  <c r="P3" i="23"/>
  <c r="P4" i="23" s="1"/>
  <c r="C77" i="23"/>
  <c r="C8" i="23"/>
  <c r="A13" i="24"/>
  <c r="I13" i="24"/>
  <c r="A13" i="12"/>
  <c r="A25" i="12"/>
  <c r="A29" i="12" s="1"/>
  <c r="C4" i="23"/>
  <c r="C2" i="23"/>
  <c r="D2" i="23" a="1"/>
  <c r="D20" i="23" s="1"/>
  <c r="E20" i="23" s="1"/>
  <c r="C3" i="23"/>
  <c r="C6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C26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39" i="23"/>
  <c r="C40" i="23"/>
  <c r="C41" i="23"/>
  <c r="C42" i="23"/>
  <c r="C43" i="23"/>
  <c r="C44" i="23"/>
  <c r="C45" i="23"/>
  <c r="C46" i="23"/>
  <c r="C47" i="23"/>
  <c r="C48" i="23"/>
  <c r="C49" i="23"/>
  <c r="C50" i="23"/>
  <c r="C51" i="23"/>
  <c r="C52" i="23"/>
  <c r="C53" i="23"/>
  <c r="C54" i="23"/>
  <c r="C55" i="23"/>
  <c r="C56" i="23"/>
  <c r="C57" i="23"/>
  <c r="C58" i="23"/>
  <c r="C59" i="23"/>
  <c r="C60" i="23"/>
  <c r="C61" i="23"/>
  <c r="C62" i="23"/>
  <c r="C63" i="23"/>
  <c r="C64" i="23"/>
  <c r="C65" i="23"/>
  <c r="C66" i="23"/>
  <c r="C67" i="23"/>
  <c r="C68" i="23"/>
  <c r="C69" i="23"/>
  <c r="C70" i="23"/>
  <c r="C71" i="23"/>
  <c r="C72" i="23"/>
  <c r="C73" i="23"/>
  <c r="C74" i="23"/>
  <c r="C75" i="23"/>
  <c r="C76" i="23"/>
  <c r="C78" i="23"/>
  <c r="C79" i="23"/>
  <c r="C80" i="23"/>
  <c r="C81" i="23"/>
  <c r="C82" i="23"/>
  <c r="C83" i="23"/>
  <c r="C84" i="23"/>
  <c r="C85" i="23"/>
  <c r="C86" i="23"/>
  <c r="C87" i="23"/>
  <c r="C88" i="23"/>
  <c r="C89" i="23"/>
  <c r="C90" i="23"/>
  <c r="C91" i="23"/>
  <c r="C92" i="23"/>
  <c r="C93" i="23"/>
  <c r="C94" i="23"/>
  <c r="C95" i="23"/>
  <c r="C96" i="23"/>
  <c r="C97" i="23"/>
  <c r="C98" i="23"/>
  <c r="C99" i="23"/>
  <c r="C100" i="23"/>
  <c r="C101" i="23"/>
  <c r="C102" i="23"/>
  <c r="C103" i="23"/>
  <c r="C104" i="23"/>
  <c r="C105" i="23"/>
  <c r="C106" i="23"/>
  <c r="C107" i="23"/>
  <c r="C108" i="23"/>
  <c r="C109" i="23"/>
  <c r="C110" i="23"/>
  <c r="C111" i="23"/>
  <c r="C114" i="23"/>
  <c r="C117" i="23"/>
  <c r="C118" i="23"/>
  <c r="C119" i="23"/>
  <c r="C120" i="23"/>
  <c r="C124" i="23"/>
  <c r="C125" i="23"/>
  <c r="C126" i="23"/>
  <c r="C127" i="23"/>
  <c r="C130" i="23"/>
  <c r="C131" i="23"/>
  <c r="C132" i="23"/>
  <c r="C133" i="23"/>
  <c r="C134" i="23"/>
  <c r="C135" i="23"/>
  <c r="C136" i="23"/>
  <c r="C137" i="23"/>
  <c r="C138" i="23"/>
  <c r="C139" i="23"/>
  <c r="C140" i="23"/>
  <c r="C141" i="23"/>
  <c r="C142" i="23"/>
  <c r="C143" i="23"/>
  <c r="C144" i="23"/>
  <c r="C145" i="23"/>
  <c r="C146" i="23"/>
  <c r="C147" i="23"/>
  <c r="C148" i="23"/>
  <c r="C149" i="23"/>
  <c r="C150" i="23"/>
  <c r="C151" i="23"/>
  <c r="C152" i="23"/>
  <c r="C153" i="23"/>
  <c r="C154" i="23"/>
  <c r="C155" i="23"/>
  <c r="C156" i="23"/>
  <c r="C157" i="23"/>
  <c r="C158" i="23"/>
  <c r="C159" i="23"/>
  <c r="C160" i="23"/>
  <c r="C161" i="23"/>
  <c r="C162" i="23"/>
  <c r="C163" i="23"/>
  <c r="C164" i="23"/>
  <c r="C165" i="23"/>
  <c r="C166" i="23"/>
  <c r="C167" i="23"/>
  <c r="C168" i="23"/>
  <c r="C169" i="23"/>
  <c r="C170" i="23"/>
  <c r="C171" i="23"/>
  <c r="C172" i="23"/>
  <c r="C173" i="23"/>
  <c r="C174" i="23"/>
  <c r="C175" i="23"/>
  <c r="C176" i="23"/>
  <c r="C177" i="23"/>
  <c r="C178" i="23"/>
  <c r="C179" i="23"/>
  <c r="C180" i="23"/>
  <c r="C181" i="23"/>
  <c r="C182" i="23"/>
  <c r="C183" i="23"/>
  <c r="C184" i="23"/>
  <c r="C185" i="23"/>
  <c r="C186" i="23"/>
  <c r="C187" i="23"/>
  <c r="C188" i="23"/>
  <c r="C189" i="23"/>
  <c r="C190" i="23"/>
  <c r="C191" i="23"/>
  <c r="C192" i="23"/>
  <c r="C193" i="23"/>
  <c r="C194" i="23"/>
  <c r="C195" i="23"/>
  <c r="C196" i="23"/>
  <c r="C197" i="23"/>
  <c r="C198" i="23"/>
  <c r="C199" i="23"/>
  <c r="C200" i="23"/>
  <c r="C201" i="23"/>
  <c r="C202" i="23"/>
  <c r="C203" i="23"/>
  <c r="C204" i="23"/>
  <c r="C205" i="23"/>
  <c r="C206" i="23"/>
  <c r="C207" i="23"/>
  <c r="C208" i="23"/>
  <c r="C209" i="23"/>
  <c r="C210" i="23"/>
  <c r="C211" i="23"/>
  <c r="C212" i="23"/>
  <c r="C213" i="23"/>
  <c r="C214" i="23"/>
  <c r="C215" i="23"/>
  <c r="C216" i="23"/>
  <c r="C217" i="23"/>
  <c r="C218" i="23"/>
  <c r="C219" i="23"/>
  <c r="C220" i="23"/>
  <c r="C221" i="23"/>
  <c r="C222" i="23"/>
  <c r="C223" i="23"/>
  <c r="C224" i="23"/>
  <c r="C225" i="23"/>
  <c r="C226" i="23"/>
  <c r="C227" i="23"/>
  <c r="C228" i="23"/>
  <c r="C229" i="23"/>
  <c r="C230" i="23"/>
  <c r="C231" i="23"/>
  <c r="C232" i="23"/>
  <c r="C233" i="23"/>
  <c r="C234" i="23"/>
  <c r="C235" i="23"/>
  <c r="C236" i="23"/>
  <c r="C237" i="23"/>
  <c r="C238" i="23"/>
  <c r="C239" i="23"/>
  <c r="C240" i="23"/>
  <c r="C241" i="23"/>
  <c r="C242" i="23"/>
  <c r="C243" i="23"/>
  <c r="C244" i="23"/>
  <c r="C245" i="23"/>
  <c r="C246" i="23"/>
  <c r="C247" i="23"/>
  <c r="C248" i="23"/>
  <c r="C249" i="23"/>
  <c r="C250" i="23"/>
  <c r="C251" i="23"/>
  <c r="C252" i="23"/>
  <c r="C253" i="23"/>
  <c r="C254" i="23"/>
  <c r="C255" i="23"/>
  <c r="C256" i="23"/>
  <c r="C257" i="23"/>
  <c r="J65" i="12"/>
  <c r="D65" i="12" s="1"/>
  <c r="D69" i="12" s="1"/>
  <c r="J50" i="14"/>
  <c r="D37" i="24"/>
  <c r="D45" i="24"/>
  <c r="A9" i="31"/>
  <c r="B9" i="31"/>
  <c r="E13" i="31" s="1"/>
  <c r="D5" i="31"/>
  <c r="E6" i="31" s="1"/>
  <c r="B58" i="14"/>
  <c r="I58" i="14"/>
  <c r="J58" i="14" s="1"/>
  <c r="K58" i="14"/>
  <c r="D58" i="14" s="1"/>
  <c r="B37" i="24"/>
  <c r="I33" i="24"/>
  <c r="K65" i="12"/>
  <c r="B65" i="12" s="1"/>
  <c r="H65" i="12"/>
  <c r="D77" i="12"/>
  <c r="F57" i="29"/>
  <c r="A63" i="29"/>
  <c r="C63" i="29" s="1"/>
  <c r="E63" i="29" s="1"/>
  <c r="D67" i="29"/>
  <c r="C67" i="29"/>
  <c r="B69" i="12"/>
  <c r="E77" i="12"/>
  <c r="G37" i="24"/>
  <c r="F37" i="24"/>
  <c r="E37" i="24"/>
  <c r="C65" i="12"/>
  <c r="C69" i="12" s="1"/>
  <c r="J5" i="23"/>
  <c r="V5" i="23"/>
  <c r="AB5" i="23"/>
  <c r="P14" i="23"/>
  <c r="P5" i="23"/>
  <c r="H5" i="23"/>
  <c r="V14" i="23"/>
  <c r="M5" i="23"/>
  <c r="S5" i="23"/>
  <c r="S14" i="23"/>
  <c r="Y5" i="23"/>
  <c r="G61" i="12" l="1"/>
  <c r="F61" i="12"/>
  <c r="I49" i="12"/>
  <c r="E53" i="12"/>
  <c r="K28" i="27"/>
  <c r="D28" i="27" s="1"/>
  <c r="F77" i="12"/>
  <c r="C77" i="12" s="1"/>
  <c r="F44" i="34"/>
  <c r="L42" i="34"/>
  <c r="E28" i="27"/>
  <c r="C28" i="27" s="1"/>
  <c r="G28" i="27" s="1"/>
  <c r="L36" i="34"/>
  <c r="D21" i="24"/>
  <c r="F70" i="29"/>
  <c r="AJ20" i="34"/>
  <c r="D53" i="12"/>
  <c r="G53" i="12"/>
  <c r="F60" i="29"/>
  <c r="C44" i="34"/>
  <c r="B53" i="12"/>
  <c r="E60" i="29"/>
  <c r="C53" i="12"/>
  <c r="B51" i="14"/>
  <c r="B50" i="14" s="1"/>
  <c r="E50" i="14" s="1"/>
  <c r="C50" i="14" s="1"/>
  <c r="G50" i="14" s="1"/>
  <c r="C13" i="31"/>
  <c r="L35" i="34"/>
  <c r="L43" i="34"/>
  <c r="AJ29" i="34"/>
  <c r="Q5" i="10"/>
  <c r="A6" i="10"/>
  <c r="B6" i="10" s="1"/>
  <c r="C6" i="10" s="1"/>
  <c r="L40" i="34"/>
  <c r="AJ26" i="34"/>
  <c r="AJ22" i="34"/>
  <c r="H44" i="34"/>
  <c r="AJ23" i="34"/>
  <c r="D44" i="34"/>
  <c r="AJ27" i="34"/>
  <c r="L37" i="34"/>
  <c r="G44" i="34"/>
  <c r="L34" i="34"/>
  <c r="L41" i="34"/>
  <c r="I44" i="34"/>
  <c r="B37" i="31"/>
  <c r="E37" i="31" s="1"/>
  <c r="C37" i="31" s="1"/>
  <c r="G37" i="31" s="1"/>
  <c r="F21" i="31"/>
  <c r="G21" i="31"/>
  <c r="D183" i="23"/>
  <c r="E183" i="23" s="1"/>
  <c r="D197" i="23"/>
  <c r="E197" i="23" s="1"/>
  <c r="D81" i="23"/>
  <c r="E81" i="23" s="1"/>
  <c r="D146" i="23"/>
  <c r="E146" i="23" s="1"/>
  <c r="D46" i="23"/>
  <c r="E46" i="23" s="1"/>
  <c r="D179" i="23"/>
  <c r="E179" i="23" s="1"/>
  <c r="D193" i="23"/>
  <c r="E193" i="23" s="1"/>
  <c r="D174" i="23"/>
  <c r="E174" i="23" s="1"/>
  <c r="D165" i="23"/>
  <c r="E165" i="23" s="1"/>
  <c r="D104" i="23"/>
  <c r="E104" i="23" s="1"/>
  <c r="D234" i="23"/>
  <c r="E234" i="23" s="1"/>
  <c r="D252" i="23"/>
  <c r="E252" i="23" s="1"/>
  <c r="D61" i="23"/>
  <c r="E61" i="23" s="1"/>
  <c r="D19" i="23"/>
  <c r="E19" i="23" s="1"/>
  <c r="D167" i="23"/>
  <c r="E167" i="23" s="1"/>
  <c r="D112" i="23"/>
  <c r="E112" i="23" s="1"/>
  <c r="D217" i="23"/>
  <c r="E217" i="23" s="1"/>
  <c r="D157" i="23"/>
  <c r="E157" i="23" s="1"/>
  <c r="D67" i="23"/>
  <c r="E67" i="23" s="1"/>
  <c r="D186" i="23"/>
  <c r="E186" i="23" s="1"/>
  <c r="D253" i="23"/>
  <c r="E253" i="23" s="1"/>
  <c r="D71" i="23"/>
  <c r="E71" i="23" s="1"/>
  <c r="D62" i="23"/>
  <c r="E62" i="23" s="1"/>
  <c r="D246" i="23"/>
  <c r="E246" i="23" s="1"/>
  <c r="D21" i="23"/>
  <c r="E21" i="23" s="1"/>
  <c r="D159" i="23"/>
  <c r="E159" i="23" s="1"/>
  <c r="D203" i="23"/>
  <c r="E203" i="23" s="1"/>
  <c r="D22" i="23"/>
  <c r="E22" i="23" s="1"/>
  <c r="D181" i="23"/>
  <c r="E181" i="23" s="1"/>
  <c r="D86" i="23"/>
  <c r="E86" i="23" s="1"/>
  <c r="D255" i="23"/>
  <c r="E255" i="23" s="1"/>
  <c r="D124" i="23"/>
  <c r="E124" i="23" s="1"/>
  <c r="D241" i="23"/>
  <c r="E241" i="23" s="1"/>
  <c r="D163" i="23"/>
  <c r="E163" i="23" s="1"/>
  <c r="D7" i="23"/>
  <c r="E7" i="23" s="1"/>
  <c r="D180" i="23"/>
  <c r="E180" i="23" s="1"/>
  <c r="D170" i="23"/>
  <c r="E170" i="23" s="1"/>
  <c r="D2" i="23"/>
  <c r="E2" i="23" s="1"/>
  <c r="D114" i="23"/>
  <c r="E114" i="23" s="1"/>
  <c r="D115" i="23"/>
  <c r="E115" i="23" s="1"/>
  <c r="D122" i="23"/>
  <c r="E122" i="23" s="1"/>
  <c r="D18" i="23"/>
  <c r="E18" i="23" s="1"/>
  <c r="D139" i="23"/>
  <c r="E139" i="23" s="1"/>
  <c r="D9" i="23"/>
  <c r="E9" i="23" s="1"/>
  <c r="D73" i="23"/>
  <c r="E73" i="23" s="1"/>
  <c r="D36" i="23"/>
  <c r="E36" i="23" s="1"/>
  <c r="D169" i="23"/>
  <c r="E169" i="23" s="1"/>
  <c r="D154" i="23"/>
  <c r="E154" i="23" s="1"/>
  <c r="D150" i="23"/>
  <c r="E150" i="23" s="1"/>
  <c r="D228" i="23"/>
  <c r="E228" i="23" s="1"/>
  <c r="D207" i="23"/>
  <c r="E207" i="23" s="1"/>
  <c r="D55" i="23"/>
  <c r="E55" i="23" s="1"/>
  <c r="D144" i="23"/>
  <c r="E144" i="23" s="1"/>
  <c r="D212" i="23"/>
  <c r="E212" i="23" s="1"/>
  <c r="D161" i="23"/>
  <c r="E161" i="23" s="1"/>
  <c r="D23" i="23"/>
  <c r="E23" i="23" s="1"/>
  <c r="D243" i="23"/>
  <c r="E243" i="23" s="1"/>
  <c r="D32" i="23"/>
  <c r="E32" i="23" s="1"/>
  <c r="F28" i="26"/>
  <c r="G28" i="26"/>
  <c r="F45" i="24"/>
  <c r="G45" i="24"/>
  <c r="F63" i="29"/>
  <c r="F50" i="14"/>
  <c r="D194" i="23"/>
  <c r="E194" i="23" s="1"/>
  <c r="D178" i="23"/>
  <c r="E178" i="23" s="1"/>
  <c r="D56" i="23"/>
  <c r="E56" i="23" s="1"/>
  <c r="D58" i="23"/>
  <c r="E58" i="23" s="1"/>
  <c r="D238" i="23"/>
  <c r="E238" i="23" s="1"/>
  <c r="D136" i="23"/>
  <c r="E136" i="23" s="1"/>
  <c r="D92" i="23"/>
  <c r="E92" i="23" s="1"/>
  <c r="D158" i="23"/>
  <c r="E158" i="23" s="1"/>
  <c r="D214" i="23"/>
  <c r="E214" i="23" s="1"/>
  <c r="D44" i="23"/>
  <c r="E44" i="23" s="1"/>
  <c r="D85" i="23"/>
  <c r="E85" i="23" s="1"/>
  <c r="D132" i="23"/>
  <c r="E132" i="23" s="1"/>
  <c r="D108" i="23"/>
  <c r="E108" i="23" s="1"/>
  <c r="D91" i="23"/>
  <c r="E91" i="23" s="1"/>
  <c r="D191" i="23"/>
  <c r="E191" i="23" s="1"/>
  <c r="D182" i="23"/>
  <c r="E182" i="23" s="1"/>
  <c r="D75" i="23"/>
  <c r="E75" i="23" s="1"/>
  <c r="D213" i="23"/>
  <c r="E213" i="23" s="1"/>
  <c r="D28" i="23"/>
  <c r="E28" i="23" s="1"/>
  <c r="D231" i="23"/>
  <c r="E231" i="23" s="1"/>
  <c r="D244" i="23"/>
  <c r="E244" i="23" s="1"/>
  <c r="D142" i="23"/>
  <c r="E142" i="23" s="1"/>
  <c r="D196" i="23"/>
  <c r="E196" i="23" s="1"/>
  <c r="D249" i="23"/>
  <c r="E249" i="23" s="1"/>
  <c r="D176" i="23"/>
  <c r="E176" i="23" s="1"/>
  <c r="D199" i="23"/>
  <c r="E199" i="23" s="1"/>
  <c r="D97" i="23"/>
  <c r="E97" i="23" s="1"/>
  <c r="D156" i="23"/>
  <c r="E156" i="23" s="1"/>
  <c r="D237" i="23"/>
  <c r="E237" i="23" s="1"/>
  <c r="D225" i="23"/>
  <c r="E225" i="23" s="1"/>
  <c r="D24" i="23"/>
  <c r="E24" i="23" s="1"/>
  <c r="D16" i="23"/>
  <c r="E16" i="23" s="1"/>
  <c r="D137" i="23"/>
  <c r="E137" i="23" s="1"/>
  <c r="D82" i="23"/>
  <c r="E82" i="23" s="1"/>
  <c r="D109" i="23"/>
  <c r="E109" i="23" s="1"/>
  <c r="D166" i="23"/>
  <c r="E166" i="23" s="1"/>
  <c r="D219" i="23"/>
  <c r="E219" i="23" s="1"/>
  <c r="D236" i="23"/>
  <c r="E236" i="23" s="1"/>
  <c r="D130" i="23"/>
  <c r="E130" i="23" s="1"/>
  <c r="D29" i="23"/>
  <c r="E29" i="23" s="1"/>
  <c r="D52" i="23"/>
  <c r="E52" i="23" s="1"/>
  <c r="D64" i="23"/>
  <c r="E64" i="23" s="1"/>
  <c r="D33" i="23"/>
  <c r="E33" i="23" s="1"/>
  <c r="D30" i="23"/>
  <c r="E30" i="23" s="1"/>
  <c r="D160" i="23"/>
  <c r="E160" i="23" s="1"/>
  <c r="D54" i="23"/>
  <c r="E54" i="23" s="1"/>
  <c r="D162" i="23"/>
  <c r="E162" i="23" s="1"/>
  <c r="D172" i="23"/>
  <c r="E172" i="23" s="1"/>
  <c r="D14" i="23"/>
  <c r="E14" i="23" s="1"/>
  <c r="D235" i="23"/>
  <c r="E235" i="23" s="1"/>
  <c r="D84" i="23"/>
  <c r="E84" i="23" s="1"/>
  <c r="D248" i="23"/>
  <c r="E248" i="23" s="1"/>
  <c r="D198" i="23"/>
  <c r="E198" i="23" s="1"/>
  <c r="D177" i="23"/>
  <c r="E177" i="23" s="1"/>
  <c r="D211" i="23"/>
  <c r="E211" i="23" s="1"/>
  <c r="D105" i="23"/>
  <c r="E105" i="23" s="1"/>
  <c r="D88" i="23"/>
  <c r="E88" i="23" s="1"/>
  <c r="D140" i="23"/>
  <c r="E140" i="23" s="1"/>
  <c r="D66" i="23"/>
  <c r="E66" i="23" s="1"/>
  <c r="D53" i="23"/>
  <c r="E53" i="23" s="1"/>
  <c r="D90" i="23"/>
  <c r="E90" i="23" s="1"/>
  <c r="D60" i="23"/>
  <c r="E60" i="23" s="1"/>
  <c r="D131" i="23"/>
  <c r="E131" i="23" s="1"/>
  <c r="D123" i="23"/>
  <c r="E123" i="23" s="1"/>
  <c r="D37" i="23"/>
  <c r="E37" i="23" s="1"/>
  <c r="E58" i="14"/>
  <c r="C58" i="14" s="1"/>
  <c r="D200" i="23"/>
  <c r="E200" i="23" s="1"/>
  <c r="D190" i="23"/>
  <c r="E190" i="23" s="1"/>
  <c r="D133" i="23"/>
  <c r="E133" i="23" s="1"/>
  <c r="D83" i="23"/>
  <c r="E83" i="23" s="1"/>
  <c r="A73" i="29"/>
  <c r="D254" i="23"/>
  <c r="E254" i="23" s="1"/>
  <c r="D68" i="23"/>
  <c r="E68" i="23" s="1"/>
  <c r="D89" i="23"/>
  <c r="E89" i="23" s="1"/>
  <c r="D121" i="23"/>
  <c r="E121" i="23" s="1"/>
  <c r="D209" i="23"/>
  <c r="E209" i="23" s="1"/>
  <c r="D141" i="23"/>
  <c r="E141" i="23" s="1"/>
  <c r="D118" i="23"/>
  <c r="E118" i="23" s="1"/>
  <c r="D239" i="23"/>
  <c r="E239" i="23" s="1"/>
  <c r="D195" i="23"/>
  <c r="E195" i="23" s="1"/>
  <c r="D70" i="23"/>
  <c r="E70" i="23" s="1"/>
  <c r="D48" i="23"/>
  <c r="E48" i="23" s="1"/>
  <c r="D39" i="23"/>
  <c r="E39" i="23" s="1"/>
  <c r="D128" i="23"/>
  <c r="E128" i="23" s="1"/>
  <c r="F28" i="27"/>
  <c r="D6" i="23"/>
  <c r="E6" i="23" s="1"/>
  <c r="D80" i="23"/>
  <c r="E80" i="23" s="1"/>
  <c r="D226" i="23"/>
  <c r="E226" i="23" s="1"/>
  <c r="D110" i="23"/>
  <c r="E110" i="23" s="1"/>
  <c r="D229" i="23"/>
  <c r="E229" i="23" s="1"/>
  <c r="D185" i="23"/>
  <c r="E185" i="23" s="1"/>
  <c r="D223" i="23"/>
  <c r="E223" i="23" s="1"/>
  <c r="D205" i="23"/>
  <c r="E205" i="23" s="1"/>
  <c r="D34" i="23"/>
  <c r="E34" i="23" s="1"/>
  <c r="D41" i="23"/>
  <c r="E41" i="23" s="1"/>
  <c r="D65" i="23"/>
  <c r="E65" i="23" s="1"/>
  <c r="D63" i="23"/>
  <c r="E63" i="23" s="1"/>
  <c r="D204" i="23"/>
  <c r="E204" i="23" s="1"/>
  <c r="D224" i="23"/>
  <c r="E224" i="23" s="1"/>
  <c r="D31" i="23"/>
  <c r="E31" i="23" s="1"/>
  <c r="D148" i="23"/>
  <c r="E148" i="23" s="1"/>
  <c r="D116" i="23"/>
  <c r="E116" i="23" s="1"/>
  <c r="D13" i="23"/>
  <c r="E13" i="23" s="1"/>
  <c r="D250" i="23"/>
  <c r="E250" i="23" s="1"/>
  <c r="D188" i="23"/>
  <c r="E188" i="23" s="1"/>
  <c r="D151" i="23"/>
  <c r="E151" i="23" s="1"/>
  <c r="D72" i="23"/>
  <c r="E72" i="23" s="1"/>
  <c r="D76" i="23"/>
  <c r="E76" i="23" s="1"/>
  <c r="D232" i="23"/>
  <c r="E232" i="23" s="1"/>
  <c r="D218" i="23"/>
  <c r="E218" i="23" s="1"/>
  <c r="D5" i="23"/>
  <c r="E5" i="23" s="1"/>
  <c r="D129" i="23"/>
  <c r="E129" i="23" s="1"/>
  <c r="D164" i="23"/>
  <c r="E164" i="23" s="1"/>
  <c r="D50" i="23"/>
  <c r="E50" i="23" s="1"/>
  <c r="D17" i="23"/>
  <c r="E17" i="23" s="1"/>
  <c r="D153" i="23"/>
  <c r="E153" i="23" s="1"/>
  <c r="D138" i="23"/>
  <c r="E138" i="23" s="1"/>
  <c r="D10" i="23"/>
  <c r="E10" i="23" s="1"/>
  <c r="D95" i="23"/>
  <c r="E95" i="23" s="1"/>
  <c r="D111" i="23"/>
  <c r="E111" i="23" s="1"/>
  <c r="D35" i="23"/>
  <c r="E35" i="23" s="1"/>
  <c r="D251" i="23"/>
  <c r="E251" i="23" s="1"/>
  <c r="D106" i="23"/>
  <c r="E106" i="23" s="1"/>
  <c r="D49" i="23"/>
  <c r="E49" i="23" s="1"/>
  <c r="D100" i="23"/>
  <c r="E100" i="23" s="1"/>
  <c r="D127" i="23"/>
  <c r="E127" i="23" s="1"/>
  <c r="D102" i="23"/>
  <c r="E102" i="23" s="1"/>
  <c r="D99" i="23"/>
  <c r="E99" i="23" s="1"/>
  <c r="D43" i="23"/>
  <c r="E43" i="23" s="1"/>
  <c r="D15" i="23"/>
  <c r="E15" i="23" s="1"/>
  <c r="D187" i="23"/>
  <c r="E187" i="23" s="1"/>
  <c r="D242" i="23"/>
  <c r="E242" i="23" s="1"/>
  <c r="D220" i="23"/>
  <c r="E220" i="23" s="1"/>
  <c r="D117" i="23"/>
  <c r="E117" i="23" s="1"/>
  <c r="D147" i="23"/>
  <c r="E147" i="23" s="1"/>
  <c r="D103" i="23"/>
  <c r="E103" i="23" s="1"/>
  <c r="D79" i="23"/>
  <c r="E79" i="23" s="1"/>
  <c r="D155" i="23"/>
  <c r="E155" i="23" s="1"/>
  <c r="D227" i="23"/>
  <c r="E227" i="23" s="1"/>
  <c r="D119" i="23"/>
  <c r="E119" i="23" s="1"/>
  <c r="D94" i="23"/>
  <c r="E94" i="23" s="1"/>
  <c r="D171" i="23"/>
  <c r="E171" i="23" s="1"/>
  <c r="D184" i="23"/>
  <c r="E184" i="23" s="1"/>
  <c r="D245" i="23"/>
  <c r="E245" i="23" s="1"/>
  <c r="D222" i="23"/>
  <c r="E222" i="23" s="1"/>
  <c r="D101" i="23"/>
  <c r="E101" i="23" s="1"/>
  <c r="D74" i="23"/>
  <c r="E74" i="23" s="1"/>
  <c r="D4" i="23"/>
  <c r="E4" i="23" s="1"/>
  <c r="D69" i="23"/>
  <c r="E69" i="23" s="1"/>
  <c r="D87" i="23"/>
  <c r="E87" i="23" s="1"/>
  <c r="D27" i="23"/>
  <c r="E27" i="23" s="1"/>
  <c r="D257" i="23"/>
  <c r="E257" i="23" s="1"/>
  <c r="D11" i="23"/>
  <c r="E11" i="23" s="1"/>
  <c r="D189" i="23"/>
  <c r="E189" i="23" s="1"/>
  <c r="D113" i="23"/>
  <c r="E113" i="23" s="1"/>
  <c r="D59" i="23"/>
  <c r="E59" i="23" s="1"/>
  <c r="D230" i="23"/>
  <c r="E230" i="23" s="1"/>
  <c r="D120" i="23"/>
  <c r="E120" i="23" s="1"/>
  <c r="D206" i="23"/>
  <c r="E206" i="23" s="1"/>
  <c r="D25" i="23"/>
  <c r="E25" i="23" s="1"/>
  <c r="D45" i="23"/>
  <c r="E45" i="23" s="1"/>
  <c r="D40" i="23"/>
  <c r="E40" i="23" s="1"/>
  <c r="D221" i="23"/>
  <c r="E221" i="23" s="1"/>
  <c r="D168" i="23"/>
  <c r="E168" i="23" s="1"/>
  <c r="D93" i="23"/>
  <c r="E93" i="23" s="1"/>
  <c r="D107" i="23"/>
  <c r="E107" i="23" s="1"/>
  <c r="D152" i="23"/>
  <c r="E152" i="23" s="1"/>
  <c r="D175" i="23"/>
  <c r="E175" i="23" s="1"/>
  <c r="D173" i="23"/>
  <c r="E173" i="23" s="1"/>
  <c r="D192" i="23"/>
  <c r="E192" i="23" s="1"/>
  <c r="D145" i="23"/>
  <c r="E145" i="23" s="1"/>
  <c r="D215" i="23"/>
  <c r="E215" i="23" s="1"/>
  <c r="D77" i="23"/>
  <c r="E77" i="23" s="1"/>
  <c r="D149" i="23"/>
  <c r="E149" i="23" s="1"/>
  <c r="D233" i="23"/>
  <c r="E233" i="23" s="1"/>
  <c r="D208" i="23"/>
  <c r="E208" i="23" s="1"/>
  <c r="D201" i="23"/>
  <c r="E201" i="23" s="1"/>
  <c r="D125" i="23"/>
  <c r="E125" i="23" s="1"/>
  <c r="D216" i="23"/>
  <c r="E216" i="23" s="1"/>
  <c r="D96" i="23"/>
  <c r="E96" i="23" s="1"/>
  <c r="D51" i="23"/>
  <c r="E51" i="23" s="1"/>
  <c r="D42" i="23"/>
  <c r="E42" i="23" s="1"/>
  <c r="D8" i="23"/>
  <c r="E8" i="23" s="1"/>
  <c r="D210" i="23"/>
  <c r="E210" i="23" s="1"/>
  <c r="D126" i="23"/>
  <c r="E126" i="23" s="1"/>
  <c r="D202" i="23"/>
  <c r="E202" i="23" s="1"/>
  <c r="D12" i="23"/>
  <c r="E12" i="23" s="1"/>
  <c r="D26" i="23"/>
  <c r="E26" i="23" s="1"/>
  <c r="D135" i="23"/>
  <c r="E135" i="23" s="1"/>
  <c r="D57" i="23"/>
  <c r="E57" i="23" s="1"/>
  <c r="D38" i="23"/>
  <c r="E38" i="23" s="1"/>
  <c r="D78" i="23"/>
  <c r="E78" i="23" s="1"/>
  <c r="D134" i="23"/>
  <c r="E134" i="23" s="1"/>
  <c r="D247" i="23"/>
  <c r="E247" i="23" s="1"/>
  <c r="D143" i="23"/>
  <c r="E143" i="23" s="1"/>
  <c r="D256" i="23"/>
  <c r="E256" i="23" s="1"/>
  <c r="D47" i="23"/>
  <c r="E47" i="23" s="1"/>
  <c r="D240" i="23"/>
  <c r="E240" i="23" s="1"/>
  <c r="D98" i="23"/>
  <c r="E98" i="23" s="1"/>
  <c r="D3" i="23"/>
  <c r="E3" i="23" s="1"/>
  <c r="F13" i="31"/>
  <c r="D13" i="31"/>
  <c r="G13" i="31"/>
  <c r="L43" i="14"/>
  <c r="N43" i="14"/>
  <c r="E43" i="14" s="1"/>
  <c r="G9" i="31"/>
  <c r="B43" i="14"/>
  <c r="F43" i="14" s="1"/>
  <c r="C43" i="14" s="1"/>
  <c r="B13" i="31"/>
  <c r="G77" i="12"/>
  <c r="H77" i="12"/>
  <c r="Y7" i="23"/>
  <c r="Y6" i="23"/>
  <c r="P6" i="23"/>
  <c r="M6" i="23"/>
  <c r="V15" i="23"/>
  <c r="P15" i="23"/>
  <c r="J7" i="23"/>
  <c r="J6" i="23"/>
  <c r="H7" i="23"/>
  <c r="H6" i="23"/>
  <c r="S6" i="23"/>
  <c r="AB7" i="23"/>
  <c r="AB6" i="23"/>
  <c r="S15" i="23"/>
  <c r="V6" i="23"/>
  <c r="J6" i="10"/>
  <c r="J8" i="23"/>
  <c r="H8" i="23"/>
  <c r="L44" i="34" l="1"/>
  <c r="O6" i="34" s="1"/>
  <c r="N10" i="34" s="1"/>
  <c r="AE19" i="34"/>
  <c r="N12" i="34" s="1"/>
  <c r="S6" i="34"/>
  <c r="P6" i="34" s="1"/>
  <c r="F37" i="31"/>
  <c r="F58" i="14"/>
  <c r="G58" i="14"/>
  <c r="A7" i="10"/>
  <c r="Q6" i="10"/>
  <c r="I43" i="14"/>
  <c r="H43" i="14"/>
  <c r="G43" i="14"/>
  <c r="C73" i="29"/>
  <c r="E67" i="29"/>
  <c r="E11" i="29"/>
  <c r="E30" i="17"/>
  <c r="B5" i="27"/>
  <c r="G28" i="10"/>
  <c r="I25" i="23"/>
  <c r="D11" i="29"/>
  <c r="D5" i="14"/>
  <c r="H5" i="26"/>
  <c r="I19" i="23"/>
  <c r="C5" i="27"/>
  <c r="F5" i="26"/>
  <c r="B28" i="10"/>
  <c r="H28" i="10"/>
  <c r="H5" i="17"/>
  <c r="C28" i="17"/>
  <c r="A5" i="14"/>
  <c r="I23" i="23"/>
  <c r="D28" i="10"/>
  <c r="J28" i="17"/>
  <c r="K11" i="29"/>
  <c r="I24" i="23"/>
  <c r="I27" i="23"/>
  <c r="K28" i="17"/>
  <c r="B5" i="26"/>
  <c r="F28" i="10"/>
  <c r="A28" i="10"/>
  <c r="I5" i="14"/>
  <c r="B5" i="14"/>
  <c r="C5" i="26"/>
  <c r="J9" i="29"/>
  <c r="I5" i="26"/>
  <c r="C5" i="24"/>
  <c r="K30" i="10"/>
  <c r="G5" i="26"/>
  <c r="A30" i="17"/>
  <c r="C28" i="10"/>
  <c r="K28" i="10"/>
  <c r="H6" i="17"/>
  <c r="K16" i="23"/>
  <c r="I15" i="23"/>
  <c r="G5" i="27"/>
  <c r="I20" i="23"/>
  <c r="I28" i="10"/>
  <c r="J5" i="10"/>
  <c r="A11" i="29"/>
  <c r="I9" i="29"/>
  <c r="I21" i="23"/>
  <c r="J28" i="10"/>
  <c r="I31" i="23"/>
  <c r="I28" i="17"/>
  <c r="H9" i="29"/>
  <c r="C5" i="12"/>
  <c r="H28" i="17"/>
  <c r="K15" i="23"/>
  <c r="D5" i="26"/>
  <c r="I32" i="23"/>
  <c r="I26" i="23"/>
  <c r="I18" i="23"/>
  <c r="A9" i="29"/>
  <c r="C9" i="29"/>
  <c r="H5" i="14"/>
  <c r="C11" i="29"/>
  <c r="G28" i="17"/>
  <c r="K30" i="17"/>
  <c r="H7" i="17"/>
  <c r="I33" i="23"/>
  <c r="B5" i="12"/>
  <c r="D30" i="17"/>
  <c r="C5" i="14"/>
  <c r="E28" i="10"/>
  <c r="B5" i="29"/>
  <c r="K9" i="29"/>
  <c r="B28" i="17"/>
  <c r="A28" i="17"/>
  <c r="A5" i="12"/>
  <c r="I29" i="23"/>
  <c r="D5" i="27"/>
  <c r="A5" i="26"/>
  <c r="C30" i="10"/>
  <c r="B9" i="29"/>
  <c r="A30" i="10"/>
  <c r="F9" i="29"/>
  <c r="A5" i="27"/>
  <c r="G5" i="14"/>
  <c r="D28" i="17"/>
  <c r="I30" i="23"/>
  <c r="I28" i="23"/>
  <c r="H5" i="27"/>
  <c r="I16" i="23"/>
  <c r="D5" i="12"/>
  <c r="I22" i="23"/>
  <c r="G9" i="29"/>
  <c r="J7" i="10"/>
  <c r="C30" i="17"/>
  <c r="B6" i="29"/>
  <c r="E9" i="29"/>
  <c r="D5" i="24"/>
  <c r="F5" i="14"/>
  <c r="A5" i="24"/>
  <c r="B5" i="24"/>
  <c r="F28" i="17"/>
  <c r="D9" i="29"/>
  <c r="F5" i="27"/>
  <c r="I17" i="23"/>
  <c r="D30" i="10"/>
  <c r="B4" i="29"/>
  <c r="I5" i="27"/>
  <c r="E28" i="17"/>
  <c r="U6" i="34" l="1"/>
  <c r="T6" i="34"/>
  <c r="G67" i="29"/>
  <c r="H67" i="29"/>
  <c r="F73" i="29"/>
  <c r="E73" i="29"/>
  <c r="B7" i="10"/>
  <c r="C7" i="10" s="1"/>
  <c r="A6" i="24"/>
  <c r="F30" i="17"/>
  <c r="G30" i="17"/>
  <c r="H30" i="17" s="1"/>
  <c r="H36" i="23"/>
  <c r="I27" i="14"/>
  <c r="B12" i="14"/>
  <c r="B9" i="24"/>
  <c r="M5" i="27"/>
  <c r="F30" i="10"/>
  <c r="L10" i="14"/>
  <c r="H39" i="23"/>
  <c r="L18" i="23"/>
  <c r="B9" i="12"/>
  <c r="B30" i="10"/>
  <c r="B30" i="17"/>
  <c r="A58" i="17"/>
  <c r="B58" i="17" s="1"/>
  <c r="L30" i="17"/>
  <c r="A48" i="17" s="1"/>
  <c r="B48" i="17"/>
  <c r="L28" i="17"/>
  <c r="A45" i="17" s="1"/>
  <c r="B45" i="17"/>
  <c r="A55" i="17"/>
  <c r="B55" i="17" s="1"/>
  <c r="I12" i="27"/>
  <c r="A6" i="27"/>
  <c r="H41" i="23"/>
  <c r="H37" i="23"/>
  <c r="C5" i="29"/>
  <c r="I19" i="14"/>
  <c r="K10" i="14"/>
  <c r="B20" i="14"/>
  <c r="B19" i="14" s="1"/>
  <c r="G30" i="10"/>
  <c r="H30" i="10" s="1"/>
  <c r="C9" i="12"/>
  <c r="D9" i="12"/>
  <c r="B48" i="10"/>
  <c r="K10" i="10"/>
  <c r="B45" i="10"/>
  <c r="A55" i="10"/>
  <c r="B55" i="10" s="1"/>
  <c r="A58" i="10"/>
  <c r="B58" i="10" s="1"/>
  <c r="L28" i="10"/>
  <c r="A45" i="10" s="1"/>
  <c r="L30" i="10"/>
  <c r="A48" i="10" s="1"/>
  <c r="K9" i="10"/>
  <c r="I13" i="10"/>
  <c r="A5" i="17"/>
  <c r="A6" i="26"/>
  <c r="A9" i="12"/>
  <c r="B21" i="12"/>
  <c r="K6" i="10"/>
  <c r="J12" i="10" s="1"/>
  <c r="F11" i="29"/>
  <c r="H38" i="23"/>
  <c r="I13" i="12"/>
  <c r="G25" i="12"/>
  <c r="B37" i="12"/>
  <c r="K13" i="12"/>
  <c r="J13" i="12"/>
  <c r="G13" i="12" s="1"/>
  <c r="I30" i="10"/>
  <c r="J30" i="10" s="1"/>
  <c r="D9" i="24"/>
  <c r="G13" i="24"/>
  <c r="D13" i="24"/>
  <c r="I9" i="24"/>
  <c r="C9" i="24"/>
  <c r="I30" i="17"/>
  <c r="J30" i="17" s="1"/>
  <c r="A41" i="29"/>
  <c r="B41" i="29" s="1"/>
  <c r="A38" i="29"/>
  <c r="B38" i="29" s="1"/>
  <c r="L11" i="29"/>
  <c r="A31" i="29" s="1"/>
  <c r="L9" i="29"/>
  <c r="A28" i="29" s="1"/>
  <c r="B28" i="29"/>
  <c r="B31" i="29"/>
  <c r="L17" i="23"/>
  <c r="B11" i="29"/>
  <c r="I11" i="29"/>
  <c r="J11" i="29" s="1"/>
  <c r="B27" i="14"/>
  <c r="E13" i="24"/>
  <c r="B13" i="24"/>
  <c r="F13" i="24"/>
  <c r="C13" i="24"/>
  <c r="B21" i="24"/>
  <c r="E21" i="24" s="1"/>
  <c r="C21" i="24" s="1"/>
  <c r="A9" i="24"/>
  <c r="I6" i="17"/>
  <c r="G11" i="29"/>
  <c r="H11" i="29" s="1"/>
  <c r="H40" i="23"/>
  <c r="B12" i="26"/>
  <c r="E12" i="26" s="1"/>
  <c r="C12" i="26" s="1"/>
  <c r="N5" i="27"/>
  <c r="A8" i="10" l="1"/>
  <c r="Q7" i="10"/>
  <c r="E19" i="14"/>
  <c r="C19" i="14" s="1"/>
  <c r="F19" i="14" s="1"/>
  <c r="F37" i="12"/>
  <c r="C37" i="12" s="1"/>
  <c r="H37" i="12" s="1"/>
  <c r="C45" i="17"/>
  <c r="A51" i="17" s="1"/>
  <c r="C48" i="17"/>
  <c r="B51" i="17" s="1"/>
  <c r="B61" i="17" s="1"/>
  <c r="C58" i="17" s="1"/>
  <c r="I9" i="12"/>
  <c r="D21" i="12"/>
  <c r="D13" i="12"/>
  <c r="Q5" i="17"/>
  <c r="A6" i="17"/>
  <c r="G21" i="24"/>
  <c r="F21" i="24"/>
  <c r="T37" i="23"/>
  <c r="K37" i="23"/>
  <c r="K38" i="23"/>
  <c r="G12" i="26"/>
  <c r="F12" i="26"/>
  <c r="E21" i="12"/>
  <c r="C21" i="12" s="1"/>
  <c r="S37" i="23"/>
  <c r="L37" i="23"/>
  <c r="L38" i="23"/>
  <c r="S38" i="23"/>
  <c r="P41" i="23"/>
  <c r="M40" i="23"/>
  <c r="P38" i="23"/>
  <c r="M41" i="23"/>
  <c r="C28" i="29"/>
  <c r="B13" i="12"/>
  <c r="N40" i="23"/>
  <c r="N41" i="23"/>
  <c r="C31" i="29"/>
  <c r="I25" i="12"/>
  <c r="E25" i="12" s="1"/>
  <c r="E29" i="12" s="1"/>
  <c r="J25" i="12"/>
  <c r="D25" i="12" s="1"/>
  <c r="D29" i="12" s="1"/>
  <c r="K25" i="12"/>
  <c r="H25" i="12"/>
  <c r="F13" i="12"/>
  <c r="C48" i="10"/>
  <c r="B12" i="27"/>
  <c r="E12" i="27" s="1"/>
  <c r="C12" i="27" s="1"/>
  <c r="E27" i="14"/>
  <c r="C27" i="14" s="1"/>
  <c r="D38" i="29"/>
  <c r="C38" i="29"/>
  <c r="E13" i="12"/>
  <c r="C45" i="10"/>
  <c r="K12" i="27"/>
  <c r="D12" i="27" s="1"/>
  <c r="J12" i="27"/>
  <c r="K19" i="14"/>
  <c r="J19" i="14"/>
  <c r="D19" i="14" s="1"/>
  <c r="L40" i="23"/>
  <c r="L41" i="23"/>
  <c r="C13" i="12"/>
  <c r="D55" i="17"/>
  <c r="C55" i="17"/>
  <c r="F12" i="14"/>
  <c r="C12" i="14" s="1"/>
  <c r="P40" i="23"/>
  <c r="T38" i="23"/>
  <c r="K40" i="23"/>
  <c r="P37" i="23"/>
  <c r="K41" i="23"/>
  <c r="C55" i="10"/>
  <c r="D55" i="10"/>
  <c r="L12" i="14"/>
  <c r="K12" i="14"/>
  <c r="D12" i="14" s="1"/>
  <c r="N12" i="14"/>
  <c r="E12" i="14" s="1"/>
  <c r="M12" i="14"/>
  <c r="J27" i="14"/>
  <c r="K27" i="14"/>
  <c r="D27" i="14" s="1"/>
  <c r="B8" i="10" l="1"/>
  <c r="G19" i="14"/>
  <c r="F45" i="17"/>
  <c r="E45" i="17"/>
  <c r="G37" i="12"/>
  <c r="F48" i="17"/>
  <c r="E48" i="17"/>
  <c r="A61" i="17"/>
  <c r="E55" i="17" s="1"/>
  <c r="H12" i="14"/>
  <c r="G12" i="14"/>
  <c r="I12" i="14"/>
  <c r="F45" i="10"/>
  <c r="E45" i="10"/>
  <c r="A51" i="10"/>
  <c r="A61" i="10" s="1"/>
  <c r="F28" i="29"/>
  <c r="E28" i="29"/>
  <c r="A34" i="29"/>
  <c r="A44" i="29" s="1"/>
  <c r="E31" i="29"/>
  <c r="F31" i="29"/>
  <c r="B34" i="29"/>
  <c r="B44" i="29" s="1"/>
  <c r="C41" i="29" s="1"/>
  <c r="C51" i="17"/>
  <c r="A7" i="17"/>
  <c r="Q6" i="17"/>
  <c r="F12" i="27"/>
  <c r="G12" i="27"/>
  <c r="F58" i="17"/>
  <c r="E58" i="17"/>
  <c r="D37" i="12"/>
  <c r="C25" i="12"/>
  <c r="C29" i="12" s="1"/>
  <c r="G27" i="14"/>
  <c r="F27" i="14"/>
  <c r="E37" i="12"/>
  <c r="B25" i="12"/>
  <c r="B29" i="12" s="1"/>
  <c r="F21" i="12"/>
  <c r="G21" i="12"/>
  <c r="F48" i="10"/>
  <c r="B51" i="10"/>
  <c r="B61" i="10" s="1"/>
  <c r="C58" i="10" s="1"/>
  <c r="E48" i="10"/>
  <c r="A9" i="10" l="1"/>
  <c r="Q8" i="10"/>
  <c r="C8" i="10"/>
  <c r="C61" i="17"/>
  <c r="E61" i="17" s="1"/>
  <c r="H55" i="17"/>
  <c r="G55" i="17"/>
  <c r="Q7" i="17"/>
  <c r="A8" i="17"/>
  <c r="F51" i="17"/>
  <c r="E51" i="17"/>
  <c r="C51" i="10"/>
  <c r="E58" i="10"/>
  <c r="F58" i="10"/>
  <c r="E55" i="10"/>
  <c r="C61" i="10"/>
  <c r="E38" i="29"/>
  <c r="C44" i="29"/>
  <c r="C34" i="29"/>
  <c r="F41" i="29"/>
  <c r="E41" i="29"/>
  <c r="B9" i="10" l="1"/>
  <c r="C9" i="10" s="1"/>
  <c r="F61" i="17"/>
  <c r="E34" i="29"/>
  <c r="F34" i="29"/>
  <c r="E51" i="10"/>
  <c r="F51" i="10"/>
  <c r="F44" i="29"/>
  <c r="E44" i="29"/>
  <c r="G38" i="29"/>
  <c r="H38" i="29"/>
  <c r="Q8" i="17"/>
  <c r="A9" i="17"/>
  <c r="F61" i="10"/>
  <c r="E61" i="10"/>
  <c r="H55" i="10"/>
  <c r="G55" i="10"/>
  <c r="A10" i="10" l="1"/>
  <c r="Q9" i="10"/>
  <c r="A10" i="17"/>
  <c r="Q9" i="17"/>
  <c r="B10" i="10" l="1"/>
  <c r="C10" i="10" s="1"/>
  <c r="A11" i="17"/>
  <c r="Q10" i="17"/>
  <c r="A11" i="10" l="1"/>
  <c r="Q10" i="10"/>
  <c r="Q11" i="17"/>
  <c r="A12" i="17"/>
  <c r="B11" i="10" l="1"/>
  <c r="A13" i="17"/>
  <c r="Q12" i="17"/>
  <c r="Q11" i="10" l="1"/>
  <c r="A12" i="10"/>
  <c r="C11" i="10"/>
  <c r="Q13" i="17"/>
  <c r="A14" i="17"/>
  <c r="B12" i="10" l="1"/>
  <c r="Q14" i="17"/>
  <c r="A15" i="17"/>
  <c r="Q12" i="10" l="1"/>
  <c r="A13" i="10"/>
  <c r="C12" i="10"/>
  <c r="Q15" i="17"/>
  <c r="A16" i="17"/>
  <c r="B13" i="10" l="1"/>
  <c r="Q16" i="17"/>
  <c r="A17" i="17"/>
  <c r="Q13" i="10" l="1"/>
  <c r="A14" i="10"/>
  <c r="C13" i="10"/>
  <c r="A18" i="17"/>
  <c r="Q17" i="17"/>
  <c r="B14" i="10" l="1"/>
  <c r="Q18" i="17"/>
  <c r="A19" i="17"/>
  <c r="A15" i="10" l="1"/>
  <c r="Q14" i="10"/>
  <c r="C14" i="10"/>
  <c r="Q19" i="17"/>
  <c r="A20" i="17"/>
  <c r="B15" i="10" l="1"/>
  <c r="Q20" i="17"/>
  <c r="A21" i="17"/>
  <c r="Q15" i="10" l="1"/>
  <c r="A16" i="10"/>
  <c r="C15" i="10"/>
  <c r="Q21" i="17"/>
  <c r="A22" i="17"/>
  <c r="B16" i="10" l="1"/>
  <c r="A23" i="17"/>
  <c r="Q22" i="17"/>
  <c r="Q16" i="10" l="1"/>
  <c r="A17" i="10"/>
  <c r="C16" i="10"/>
  <c r="A24" i="17"/>
  <c r="Q24" i="17" s="1"/>
  <c r="Q23" i="17"/>
  <c r="B5" i="17" a="1"/>
  <c r="B17" i="10" l="1"/>
  <c r="C17" i="10" s="1"/>
  <c r="B21" i="17"/>
  <c r="B12" i="17"/>
  <c r="B14" i="17"/>
  <c r="B16" i="17"/>
  <c r="B11" i="17"/>
  <c r="B17" i="17"/>
  <c r="B20" i="17"/>
  <c r="B9" i="17"/>
  <c r="B22" i="17"/>
  <c r="B13" i="17"/>
  <c r="B23" i="17"/>
  <c r="B7" i="17"/>
  <c r="B15" i="17"/>
  <c r="B18" i="17"/>
  <c r="B10" i="17"/>
  <c r="B24" i="17"/>
  <c r="B5" i="17"/>
  <c r="B6" i="17"/>
  <c r="B8" i="17"/>
  <c r="B19" i="17"/>
  <c r="A18" i="10" l="1"/>
  <c r="Q17" i="10"/>
  <c r="D5" i="17"/>
  <c r="D6" i="17" s="1"/>
  <c r="D7" i="17" s="1"/>
  <c r="D8" i="17" s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D20" i="17" s="1"/>
  <c r="D21" i="17" s="1"/>
  <c r="D22" i="17" s="1"/>
  <c r="D23" i="17" s="1"/>
  <c r="D24" i="17" s="1"/>
  <c r="B25" i="17"/>
  <c r="G25" i="17" s="1"/>
  <c r="B18" i="10" l="1"/>
  <c r="C18" i="10" s="1"/>
  <c r="C16" i="17"/>
  <c r="C20" i="17"/>
  <c r="C7" i="17"/>
  <c r="C10" i="17"/>
  <c r="C12" i="17"/>
  <c r="C19" i="17"/>
  <c r="C9" i="17"/>
  <c r="C13" i="17"/>
  <c r="C11" i="17"/>
  <c r="C24" i="17"/>
  <c r="C6" i="17"/>
  <c r="C15" i="17"/>
  <c r="C21" i="17"/>
  <c r="C14" i="17"/>
  <c r="C17" i="17"/>
  <c r="C22" i="17"/>
  <c r="C23" i="17"/>
  <c r="C18" i="17"/>
  <c r="C5" i="17"/>
  <c r="C8" i="17"/>
  <c r="A19" i="10" l="1"/>
  <c r="Q18" i="10"/>
  <c r="E5" i="17"/>
  <c r="E6" i="17" s="1"/>
  <c r="E7" i="17" s="1"/>
  <c r="E8" i="17" s="1"/>
  <c r="E9" i="17" s="1"/>
  <c r="E10" i="17" s="1"/>
  <c r="E11" i="17" s="1"/>
  <c r="E12" i="17" s="1"/>
  <c r="E13" i="17" s="1"/>
  <c r="E14" i="17" s="1"/>
  <c r="E15" i="17" s="1"/>
  <c r="E16" i="17" s="1"/>
  <c r="E17" i="17" s="1"/>
  <c r="E18" i="17" s="1"/>
  <c r="E19" i="17" s="1"/>
  <c r="E20" i="17" s="1"/>
  <c r="E21" i="17" s="1"/>
  <c r="E22" i="17" s="1"/>
  <c r="E23" i="17" s="1"/>
  <c r="E24" i="17" s="1"/>
  <c r="C25" i="17"/>
  <c r="B19" i="10" l="1"/>
  <c r="A20" i="10" l="1"/>
  <c r="Q19" i="10"/>
  <c r="C19" i="10"/>
  <c r="B20" i="10" l="1"/>
  <c r="C20" i="10" s="1"/>
  <c r="A21" i="10" l="1"/>
  <c r="Q20" i="10"/>
  <c r="B21" i="10" l="1"/>
  <c r="C21" i="10" s="1"/>
  <c r="Q21" i="10" l="1"/>
  <c r="A22" i="10"/>
  <c r="B22" i="10" l="1"/>
  <c r="C22" i="10" s="1"/>
  <c r="A23" i="10" l="1"/>
  <c r="Q22" i="10"/>
  <c r="B23" i="10" l="1"/>
  <c r="A24" i="10" l="1"/>
  <c r="Q23" i="10"/>
  <c r="C23" i="10"/>
  <c r="B24" i="10" l="1"/>
  <c r="Q24" i="10" s="1"/>
  <c r="D5" i="10" a="1"/>
  <c r="C24" i="10" l="1"/>
  <c r="D21" i="10"/>
  <c r="D18" i="10"/>
  <c r="D23" i="10"/>
  <c r="D14" i="10"/>
  <c r="D22" i="10"/>
  <c r="D9" i="10"/>
  <c r="D17" i="10"/>
  <c r="D24" i="10"/>
  <c r="D6" i="10"/>
  <c r="D11" i="10"/>
  <c r="D19" i="10"/>
  <c r="D13" i="10"/>
  <c r="D20" i="10"/>
  <c r="D12" i="10"/>
  <c r="D5" i="10"/>
  <c r="D8" i="10"/>
  <c r="D7" i="10"/>
  <c r="D10" i="10"/>
  <c r="D15" i="10"/>
  <c r="D16" i="10"/>
  <c r="M8" i="23" l="1"/>
  <c r="M9" i="23" s="1"/>
  <c r="M10" i="23" s="1"/>
  <c r="M11" i="23" s="1"/>
  <c r="D25" i="10"/>
  <c r="I25" i="10" s="1"/>
  <c r="F5" i="10"/>
  <c r="F6" i="10" s="1"/>
  <c r="F7" i="10" s="1"/>
  <c r="F8" i="10" s="1"/>
  <c r="F9" i="10" s="1"/>
  <c r="F10" i="10" s="1"/>
  <c r="F11" i="10" s="1"/>
  <c r="F12" i="10" s="1"/>
  <c r="F13" i="10" s="1"/>
  <c r="F14" i="10" s="1"/>
  <c r="F15" i="10" s="1"/>
  <c r="F16" i="10" s="1"/>
  <c r="F17" i="10" s="1"/>
  <c r="F18" i="10" s="1"/>
  <c r="F19" i="10" s="1"/>
  <c r="F20" i="10" s="1"/>
  <c r="F21" i="10" s="1"/>
  <c r="F22" i="10" s="1"/>
  <c r="F23" i="10" s="1"/>
  <c r="F24" i="10" s="1"/>
  <c r="M12" i="23"/>
  <c r="E18" i="10" l="1"/>
  <c r="E13" i="10"/>
  <c r="E16" i="10"/>
  <c r="E5" i="10"/>
  <c r="G5" i="10" s="1"/>
  <c r="E7" i="10"/>
  <c r="E30" i="10"/>
  <c r="E11" i="10"/>
  <c r="E22" i="10"/>
  <c r="E8" i="10"/>
  <c r="E19" i="10"/>
  <c r="E12" i="10"/>
  <c r="E21" i="10"/>
  <c r="E15" i="10"/>
  <c r="E17" i="10"/>
  <c r="E6" i="10"/>
  <c r="E14" i="10"/>
  <c r="E10" i="10"/>
  <c r="E20" i="10"/>
  <c r="E24" i="10"/>
  <c r="E23" i="10"/>
  <c r="E9" i="10"/>
  <c r="E25" i="10" l="1"/>
  <c r="G6" i="10"/>
  <c r="G7" i="10" s="1"/>
  <c r="G8" i="10" s="1"/>
  <c r="G9" i="10" s="1"/>
  <c r="G10" i="10" s="1"/>
  <c r="G11" i="10" s="1"/>
  <c r="G12" i="10" s="1"/>
  <c r="G13" i="10" s="1"/>
  <c r="G14" i="10" s="1"/>
  <c r="G15" i="10" s="1"/>
  <c r="G16" i="10" s="1"/>
  <c r="G17" i="10" s="1"/>
  <c r="G18" i="10" s="1"/>
  <c r="G19" i="10" s="1"/>
  <c r="G20" i="10" s="1"/>
  <c r="G21" i="10" s="1"/>
  <c r="G22" i="10" s="1"/>
  <c r="G23" i="10" s="1"/>
  <c r="G24" i="10" s="1"/>
</calcChain>
</file>

<file path=xl/comments1.xml><?xml version="1.0" encoding="utf-8"?>
<comments xmlns="http://schemas.openxmlformats.org/spreadsheetml/2006/main">
  <authors>
    <author>k101kri</author>
  </authors>
  <commentList>
    <comment ref="E30" authorId="0" shapeId="0">
      <text>
        <r>
          <rPr>
            <sz val="8"/>
            <color indexed="81"/>
            <rFont val="Tahoma"/>
            <family val="2"/>
            <charset val="238"/>
          </rPr>
          <t xml:space="preserve">hodnota pouze odkazuje na tzv. </t>
        </r>
        <r>
          <rPr>
            <i/>
            <sz val="8"/>
            <color indexed="81"/>
            <rFont val="Tahoma"/>
            <family val="2"/>
            <charset val="238"/>
          </rPr>
          <t>modální interval</t>
        </r>
      </text>
    </comment>
  </commentList>
</comments>
</file>

<file path=xl/comments2.xml><?xml version="1.0" encoding="utf-8"?>
<comments xmlns="http://schemas.openxmlformats.org/spreadsheetml/2006/main">
  <authors>
    <author>k101kri</author>
  </authors>
  <commentList>
    <comment ref="J43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3.xml><?xml version="1.0" encoding="utf-8"?>
<comments xmlns="http://schemas.openxmlformats.org/spreadsheetml/2006/main">
  <authors>
    <author>k101kri</author>
  </authors>
  <commentList>
    <comment ref="I27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4.xml><?xml version="1.0" encoding="utf-8"?>
<comments xmlns="http://schemas.openxmlformats.org/spreadsheetml/2006/main">
  <authors>
    <author>k101kri</author>
  </authors>
  <commentList>
    <comment ref="M34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5.xml><?xml version="1.0" encoding="utf-8"?>
<comments xmlns="http://schemas.openxmlformats.org/spreadsheetml/2006/main">
  <authors>
    <author>k101kri</author>
  </authors>
  <commentList>
    <comment ref="M19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comments6.xml><?xml version="1.0" encoding="utf-8"?>
<comments xmlns="http://schemas.openxmlformats.org/spreadsheetml/2006/main">
  <authors>
    <author>k101kri</author>
  </authors>
  <commentList>
    <comment ref="J19" authorId="0" shapeId="0">
      <text>
        <r>
          <rPr>
            <sz val="9"/>
            <color indexed="81"/>
            <rFont val="Tahoma"/>
            <family val="2"/>
            <charset val="238"/>
          </rPr>
          <t>použij pro výpočet směrodatné odchylky 
z daného rozptylu</t>
        </r>
      </text>
    </comment>
  </commentList>
</comments>
</file>

<file path=xl/sharedStrings.xml><?xml version="1.0" encoding="utf-8"?>
<sst xmlns="http://schemas.openxmlformats.org/spreadsheetml/2006/main" count="1623" uniqueCount="384">
  <si>
    <t>n</t>
  </si>
  <si>
    <t>x</t>
  </si>
  <si>
    <t>R</t>
  </si>
  <si>
    <t xml:space="preserve">min. </t>
  </si>
  <si>
    <t>max.</t>
  </si>
  <si>
    <t>1 + 3,32 log n</t>
  </si>
  <si>
    <t>k</t>
  </si>
  <si>
    <t>h</t>
  </si>
  <si>
    <t>5 log n</t>
  </si>
  <si>
    <t>a</t>
  </si>
  <si>
    <t>Intervalové rozdělení četností</t>
  </si>
  <si>
    <t xml:space="preserve">v </t>
  </si>
  <si>
    <t>Bodové rozdělení četností</t>
  </si>
  <si>
    <t>p-st</t>
  </si>
  <si>
    <t>min.n</t>
  </si>
  <si>
    <t>oboustranný</t>
  </si>
  <si>
    <t>dolní</t>
  </si>
  <si>
    <t>horní</t>
  </si>
  <si>
    <t>spol.</t>
  </si>
  <si>
    <t>H</t>
  </si>
  <si>
    <t>A</t>
  </si>
  <si>
    <t>S =</t>
  </si>
  <si>
    <r>
      <t>n</t>
    </r>
    <r>
      <rPr>
        <vertAlign val="subscript"/>
        <sz val="12"/>
        <rFont val="Times New Roman CE"/>
        <family val="1"/>
        <charset val="238"/>
      </rPr>
      <t>i</t>
    </r>
  </si>
  <si>
    <r>
      <t>x</t>
    </r>
    <r>
      <rPr>
        <vertAlign val="subscript"/>
        <sz val="12"/>
        <rFont val="Times New Roman CE"/>
        <family val="1"/>
        <charset val="238"/>
      </rPr>
      <t>d</t>
    </r>
  </si>
  <si>
    <r>
      <t>x</t>
    </r>
    <r>
      <rPr>
        <vertAlign val="subscript"/>
        <sz val="12"/>
        <rFont val="Times New Roman CE"/>
        <family val="1"/>
        <charset val="238"/>
      </rPr>
      <t>h</t>
    </r>
  </si>
  <si>
    <r>
      <t>x</t>
    </r>
    <r>
      <rPr>
        <vertAlign val="subscript"/>
        <sz val="12"/>
        <rFont val="Times New Roman CE"/>
        <family val="1"/>
        <charset val="238"/>
      </rPr>
      <t>i</t>
    </r>
  </si>
  <si>
    <r>
      <t>p</t>
    </r>
    <r>
      <rPr>
        <vertAlign val="subscript"/>
        <sz val="12"/>
        <rFont val="Times New Roman CE"/>
        <family val="1"/>
        <charset val="238"/>
      </rPr>
      <t>i</t>
    </r>
  </si>
  <si>
    <r>
      <t>N</t>
    </r>
    <r>
      <rPr>
        <vertAlign val="subscript"/>
        <sz val="12"/>
        <rFont val="Times New Roman CE"/>
        <family val="1"/>
        <charset val="238"/>
      </rPr>
      <t>i</t>
    </r>
  </si>
  <si>
    <r>
      <t>F</t>
    </r>
    <r>
      <rPr>
        <vertAlign val="subscript"/>
        <sz val="12"/>
        <rFont val="Times New Roman CE"/>
        <family val="1"/>
        <charset val="238"/>
      </rPr>
      <t>i</t>
    </r>
  </si>
  <si>
    <r>
      <t>S</t>
    </r>
    <r>
      <rPr>
        <sz val="12"/>
        <rFont val="Times New Roman CE"/>
        <family val="1"/>
        <charset val="238"/>
      </rPr>
      <t>x</t>
    </r>
  </si>
  <si>
    <r>
      <t>x</t>
    </r>
    <r>
      <rPr>
        <vertAlign val="subscript"/>
        <sz val="12"/>
        <rFont val="Times New Roman CE"/>
        <family val="1"/>
        <charset val="238"/>
      </rPr>
      <t>0,25</t>
    </r>
    <r>
      <rPr>
        <sz val="12"/>
        <rFont val="Times New Roman CE"/>
        <family val="1"/>
        <charset val="238"/>
      </rPr>
      <t xml:space="preserve"> </t>
    </r>
  </si>
  <si>
    <r>
      <t>x</t>
    </r>
    <r>
      <rPr>
        <vertAlign val="subscript"/>
        <sz val="12"/>
        <rFont val="Times New Roman CE"/>
        <family val="1"/>
        <charset val="238"/>
      </rPr>
      <t>0,75</t>
    </r>
    <r>
      <rPr>
        <sz val="12"/>
        <rFont val="Times New Roman CE"/>
        <family val="1"/>
        <charset val="238"/>
      </rPr>
      <t xml:space="preserve"> </t>
    </r>
  </si>
  <si>
    <r>
      <t>x</t>
    </r>
    <r>
      <rPr>
        <vertAlign val="subscript"/>
        <sz val="12"/>
        <rFont val="Times New Roman CE"/>
        <family val="1"/>
        <charset val="238"/>
      </rPr>
      <t>0,10</t>
    </r>
    <r>
      <rPr>
        <sz val="12"/>
        <rFont val="Times New Roman CE"/>
        <family val="1"/>
        <charset val="238"/>
      </rPr>
      <t xml:space="preserve"> </t>
    </r>
  </si>
  <si>
    <r>
      <t>x</t>
    </r>
    <r>
      <rPr>
        <vertAlign val="subscript"/>
        <sz val="12"/>
        <rFont val="Times New Roman CE"/>
        <family val="1"/>
        <charset val="238"/>
      </rPr>
      <t>0,90</t>
    </r>
    <r>
      <rPr>
        <sz val="12"/>
        <rFont val="Times New Roman CE"/>
        <family val="1"/>
        <charset val="238"/>
      </rPr>
      <t xml:space="preserve"> </t>
    </r>
  </si>
  <si>
    <r>
      <t>a</t>
    </r>
    <r>
      <rPr>
        <vertAlign val="subscript"/>
        <sz val="12"/>
        <rFont val="Times New Roman CE"/>
        <family val="1"/>
        <charset val="238"/>
      </rPr>
      <t>3</t>
    </r>
    <r>
      <rPr>
        <sz val="12"/>
        <rFont val="Times New Roman CE"/>
        <family val="1"/>
        <charset val="238"/>
      </rPr>
      <t xml:space="preserve"> </t>
    </r>
  </si>
  <si>
    <r>
      <t>S</t>
    </r>
    <r>
      <rPr>
        <sz val="12"/>
        <rFont val="Times New Roman CE"/>
        <family val="1"/>
        <charset val="238"/>
      </rPr>
      <t>x</t>
    </r>
    <r>
      <rPr>
        <vertAlign val="superscript"/>
        <sz val="12"/>
        <rFont val="Times New Roman CE"/>
        <family val="1"/>
        <charset val="238"/>
      </rPr>
      <t>2</t>
    </r>
  </si>
  <si>
    <r>
      <t>s</t>
    </r>
    <r>
      <rPr>
        <vertAlign val="subscript"/>
        <sz val="12"/>
        <rFont val="Times New Roman CE"/>
        <family val="1"/>
        <charset val="238"/>
      </rPr>
      <t>n</t>
    </r>
  </si>
  <si>
    <r>
      <t>R</t>
    </r>
    <r>
      <rPr>
        <vertAlign val="subscript"/>
        <sz val="12"/>
        <rFont val="Times New Roman CE"/>
        <family val="1"/>
        <charset val="238"/>
      </rPr>
      <t>Q</t>
    </r>
    <r>
      <rPr>
        <sz val="12"/>
        <rFont val="Times New Roman CE"/>
        <family val="1"/>
        <charset val="238"/>
      </rPr>
      <t xml:space="preserve"> </t>
    </r>
  </si>
  <si>
    <r>
      <t>Q</t>
    </r>
    <r>
      <rPr>
        <vertAlign val="subscript"/>
        <sz val="12"/>
        <rFont val="Times New Roman CE"/>
        <family val="1"/>
        <charset val="238"/>
      </rPr>
      <t xml:space="preserve"> </t>
    </r>
  </si>
  <si>
    <r>
      <t>R</t>
    </r>
    <r>
      <rPr>
        <vertAlign val="subscript"/>
        <sz val="12"/>
        <rFont val="Times New Roman CE"/>
        <family val="1"/>
        <charset val="238"/>
      </rPr>
      <t>D</t>
    </r>
  </si>
  <si>
    <r>
      <t>D</t>
    </r>
    <r>
      <rPr>
        <vertAlign val="subscript"/>
        <sz val="12"/>
        <rFont val="Times New Roman CE"/>
        <family val="1"/>
        <charset val="238"/>
      </rPr>
      <t/>
    </r>
  </si>
  <si>
    <r>
      <t>a</t>
    </r>
    <r>
      <rPr>
        <vertAlign val="subscript"/>
        <sz val="12"/>
        <rFont val="Times New Roman CE"/>
        <family val="1"/>
        <charset val="238"/>
      </rPr>
      <t>4</t>
    </r>
  </si>
  <si>
    <r>
      <t>a</t>
    </r>
    <r>
      <rPr>
        <vertAlign val="subscript"/>
        <sz val="12"/>
        <rFont val="Times New Roman CE"/>
        <family val="1"/>
        <charset val="238"/>
      </rPr>
      <t>3</t>
    </r>
  </si>
  <si>
    <r>
      <t>Dva nezávislé výběry z normálního rozdělení</t>
    </r>
    <r>
      <rPr>
        <sz val="12"/>
        <rFont val="Times New Roman CE"/>
        <family val="1"/>
        <charset val="238"/>
      </rPr>
      <t xml:space="preserve">  </t>
    </r>
  </si>
  <si>
    <r>
      <t>n</t>
    </r>
    <r>
      <rPr>
        <vertAlign val="subscript"/>
        <sz val="12"/>
        <rFont val="Times New Roman CE"/>
        <family val="1"/>
        <charset val="238"/>
      </rPr>
      <t>1</t>
    </r>
  </si>
  <si>
    <r>
      <t>n</t>
    </r>
    <r>
      <rPr>
        <vertAlign val="subscript"/>
        <sz val="12"/>
        <rFont val="Times New Roman CE"/>
        <family val="1"/>
        <charset val="238"/>
      </rPr>
      <t>2</t>
    </r>
  </si>
  <si>
    <r>
      <t>Dva nezávislé výběry z libovolného rozdělení</t>
    </r>
    <r>
      <rPr>
        <sz val="12"/>
        <rFont val="Times New Roman CE"/>
        <family val="1"/>
        <charset val="238"/>
      </rPr>
      <t xml:space="preserve">  </t>
    </r>
  </si>
  <si>
    <t>Popisné charakteristiky</t>
  </si>
  <si>
    <r>
      <t>a</t>
    </r>
    <r>
      <rPr>
        <vertAlign val="subscript"/>
        <sz val="12"/>
        <rFont val="Times New Roman CE"/>
        <charset val="238"/>
      </rPr>
      <t>3</t>
    </r>
    <r>
      <rPr>
        <sz val="12"/>
        <rFont val="Times New Roman CE"/>
        <charset val="238"/>
      </rPr>
      <t>*</t>
    </r>
  </si>
  <si>
    <r>
      <t>a</t>
    </r>
    <r>
      <rPr>
        <vertAlign val="subscript"/>
        <sz val="12"/>
        <rFont val="Times New Roman CE"/>
        <charset val="238"/>
      </rPr>
      <t>4</t>
    </r>
    <r>
      <rPr>
        <sz val="12"/>
        <rFont val="Times New Roman CE"/>
        <charset val="238"/>
      </rPr>
      <t>*</t>
    </r>
  </si>
  <si>
    <t>estSE</t>
  </si>
  <si>
    <t>kvantily</t>
  </si>
  <si>
    <t>1. výběr</t>
  </si>
  <si>
    <t>2. výběr</t>
  </si>
  <si>
    <r>
      <t>kvantily t</t>
    </r>
    <r>
      <rPr>
        <vertAlign val="subscript"/>
        <sz val="12"/>
        <rFont val="Times New Roman CE"/>
        <charset val="238"/>
      </rPr>
      <t>P</t>
    </r>
    <r>
      <rPr>
        <sz val="12"/>
        <rFont val="Times New Roman CE"/>
        <charset val="238"/>
      </rPr>
      <t>(</t>
    </r>
    <r>
      <rPr>
        <sz val="12"/>
        <rFont val="Symbol"/>
        <family val="1"/>
        <charset val="2"/>
      </rPr>
      <t>n</t>
    </r>
    <r>
      <rPr>
        <sz val="12"/>
        <rFont val="Times New Roman CE"/>
        <charset val="238"/>
      </rPr>
      <t>)</t>
    </r>
  </si>
  <si>
    <t>Testy hypotéz o shodě středních hodnot</t>
  </si>
  <si>
    <t>Výběr z normálního rozdělení</t>
  </si>
  <si>
    <t>název</t>
  </si>
  <si>
    <t>b</t>
  </si>
  <si>
    <t>c</t>
  </si>
  <si>
    <t>d</t>
  </si>
  <si>
    <t>e</t>
  </si>
  <si>
    <t>f</t>
  </si>
  <si>
    <t>g</t>
  </si>
  <si>
    <t>i</t>
  </si>
  <si>
    <t>j</t>
  </si>
  <si>
    <t>l</t>
  </si>
  <si>
    <t>m</t>
  </si>
  <si>
    <t>o</t>
  </si>
  <si>
    <t>p</t>
  </si>
  <si>
    <t>q</t>
  </si>
  <si>
    <t>r</t>
  </si>
  <si>
    <t>s</t>
  </si>
  <si>
    <t>t</t>
  </si>
  <si>
    <t>u</t>
  </si>
  <si>
    <t>v</t>
  </si>
  <si>
    <t>w</t>
  </si>
  <si>
    <t>y</t>
  </si>
  <si>
    <t>z</t>
  </si>
  <si>
    <t>vyber proměnnou</t>
  </si>
  <si>
    <t>bodové rozdělení četností</t>
  </si>
  <si>
    <t>značení sloupce</t>
  </si>
  <si>
    <t>sloupec</t>
  </si>
  <si>
    <t>adresa dat</t>
  </si>
  <si>
    <t>intervalové rozdělení četností</t>
  </si>
  <si>
    <t>vybraný sloupec</t>
  </si>
  <si>
    <t>p-hodnota</t>
  </si>
  <si>
    <r>
      <t>u</t>
    </r>
    <r>
      <rPr>
        <vertAlign val="subscript"/>
        <sz val="12"/>
        <rFont val="Times New Roman CE"/>
        <charset val="238"/>
      </rPr>
      <t>3</t>
    </r>
  </si>
  <si>
    <r>
      <t>u</t>
    </r>
    <r>
      <rPr>
        <vertAlign val="subscript"/>
        <sz val="12"/>
        <rFont val="Times New Roman CE"/>
        <charset val="238"/>
      </rPr>
      <t>4</t>
    </r>
  </si>
  <si>
    <t>C</t>
  </si>
  <si>
    <t>kritická hodnota</t>
  </si>
  <si>
    <r>
      <t>kvantily u</t>
    </r>
    <r>
      <rPr>
        <vertAlign val="subscript"/>
        <sz val="12"/>
        <rFont val="Times New Roman CE"/>
        <charset val="238"/>
      </rPr>
      <t>p</t>
    </r>
  </si>
  <si>
    <t>2V - párový test</t>
  </si>
  <si>
    <t>diference</t>
  </si>
  <si>
    <t>adresa dat 2</t>
  </si>
  <si>
    <r>
      <t>Dva závislé výběry z normálního rozdělení - párový test</t>
    </r>
    <r>
      <rPr>
        <sz val="12"/>
        <rFont val="Times New Roman CE"/>
        <family val="1"/>
        <charset val="238"/>
      </rPr>
      <t xml:space="preserve">  </t>
    </r>
  </si>
  <si>
    <r>
      <t>s</t>
    </r>
    <r>
      <rPr>
        <vertAlign val="subscript"/>
        <sz val="12"/>
        <rFont val="Times New Roman CE"/>
        <charset val="238"/>
      </rPr>
      <t>d</t>
    </r>
  </si>
  <si>
    <t>Výběr z libovolného rozdělení</t>
  </si>
  <si>
    <t>pro modus</t>
  </si>
  <si>
    <t>kvantily normovaného normální rozdělení</t>
  </si>
  <si>
    <t>kvantily Pearsonova rozdělení</t>
  </si>
  <si>
    <t>kvantily Fisher-Snedecorova rozdělení</t>
  </si>
  <si>
    <t xml:space="preserve">p </t>
  </si>
  <si>
    <r>
      <t>u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 </t>
    </r>
  </si>
  <si>
    <t>modus</t>
  </si>
  <si>
    <r>
      <t xml:space="preserve">přípustná chyba </t>
    </r>
    <r>
      <rPr>
        <sz val="12"/>
        <rFont val="Symbol"/>
        <family val="1"/>
        <charset val="2"/>
      </rPr>
      <t>D</t>
    </r>
  </si>
  <si>
    <t>1V - libovolné</t>
  </si>
  <si>
    <t xml:space="preserve">1V - normální </t>
  </si>
  <si>
    <t xml:space="preserve">2V - normální </t>
  </si>
  <si>
    <t>2V -  libovolné</t>
  </si>
  <si>
    <t>popisné charakteristiky</t>
  </si>
  <si>
    <r>
      <t>D</t>
    </r>
    <r>
      <rPr>
        <sz val="12"/>
        <rFont val="Times New Roman CE"/>
        <family val="1"/>
        <charset val="238"/>
      </rPr>
      <t>(a</t>
    </r>
    <r>
      <rPr>
        <vertAlign val="subscript"/>
        <sz val="12"/>
        <rFont val="Times New Roman CE"/>
        <charset val="238"/>
      </rPr>
      <t>3</t>
    </r>
    <r>
      <rPr>
        <sz val="12"/>
        <rFont val="Times New Roman CE"/>
        <family val="1"/>
        <charset val="238"/>
      </rPr>
      <t>)</t>
    </r>
  </si>
  <si>
    <r>
      <t>D</t>
    </r>
    <r>
      <rPr>
        <sz val="12"/>
        <rFont val="Times New Roman CE"/>
        <family val="1"/>
        <charset val="238"/>
      </rPr>
      <t>(a</t>
    </r>
    <r>
      <rPr>
        <vertAlign val="subscript"/>
        <sz val="12"/>
        <rFont val="Times New Roman CE"/>
        <charset val="238"/>
      </rPr>
      <t>4</t>
    </r>
    <r>
      <rPr>
        <sz val="12"/>
        <rFont val="Times New Roman CE"/>
        <family val="1"/>
        <charset val="238"/>
      </rPr>
      <t>)</t>
    </r>
  </si>
  <si>
    <t>nebudou se potom zobrazovat v grafech.</t>
  </si>
  <si>
    <t>vyber proměnné</t>
  </si>
  <si>
    <t xml:space="preserve">tabulka rozdělení četností </t>
  </si>
  <si>
    <t>základní informace</t>
  </si>
  <si>
    <t>krok</t>
  </si>
  <si>
    <t>stanovení počtu tříd</t>
  </si>
  <si>
    <t>stanovení šířky tříd</t>
  </si>
  <si>
    <t>vstupní parametry</t>
  </si>
  <si>
    <r>
      <t>u</t>
    </r>
    <r>
      <rPr>
        <vertAlign val="subscript"/>
        <sz val="12"/>
        <rFont val="Times New Roman CE"/>
        <family val="1"/>
        <charset val="238"/>
      </rPr>
      <t>1-</t>
    </r>
    <r>
      <rPr>
        <vertAlign val="subscript"/>
        <sz val="12"/>
        <rFont val="Times New Roman"/>
        <family val="1"/>
        <charset val="238"/>
      </rPr>
      <t>α/2</t>
    </r>
    <r>
      <rPr>
        <sz val="12"/>
        <rFont val="Times New Roman CE"/>
        <family val="1"/>
        <charset val="238"/>
      </rPr>
      <t xml:space="preserve"> 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</si>
  <si>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1–α</t>
    </r>
    <r>
      <rPr>
        <sz val="12"/>
        <rFont val="Times New Roman"/>
        <family val="1"/>
        <charset val="238"/>
      </rPr>
      <t>(2)</t>
    </r>
  </si>
  <si>
    <t>α</t>
  </si>
  <si>
    <r>
      <t>t</t>
    </r>
    <r>
      <rPr>
        <vertAlign val="subscript"/>
        <sz val="12"/>
        <rFont val="Times New Roman"/>
        <family val="1"/>
        <charset val="238"/>
      </rPr>
      <t>1-α</t>
    </r>
    <r>
      <rPr>
        <sz val="12"/>
        <rFont val="Times New Roman"/>
        <family val="1"/>
        <charset val="238"/>
      </rPr>
      <t>(ν)</t>
    </r>
  </si>
  <si>
    <t>ν</t>
  </si>
  <si>
    <r>
      <t>t</t>
    </r>
    <r>
      <rPr>
        <vertAlign val="subscript"/>
        <sz val="12"/>
        <rFont val="Times New Roman"/>
        <family val="1"/>
        <charset val="238"/>
      </rPr>
      <t>1-α/2</t>
    </r>
    <r>
      <rPr>
        <sz val="12"/>
        <rFont val="Times New Roman"/>
        <family val="1"/>
        <charset val="238"/>
      </rPr>
      <t>(ν)</t>
    </r>
  </si>
  <si>
    <r>
      <t>kvantily t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(ν)</t>
    </r>
  </si>
  <si>
    <t>Δ</t>
  </si>
  <si>
    <r>
      <t>u</t>
    </r>
    <r>
      <rPr>
        <vertAlign val="subscript"/>
        <sz val="12"/>
        <rFont val="Times New Roman"/>
        <family val="1"/>
        <charset val="238"/>
      </rPr>
      <t>1-α</t>
    </r>
  </si>
  <si>
    <r>
      <t>u</t>
    </r>
    <r>
      <rPr>
        <vertAlign val="subscript"/>
        <sz val="12"/>
        <rFont val="Times New Roman"/>
        <family val="1"/>
        <charset val="238"/>
      </rPr>
      <t>1-α/2</t>
    </r>
  </si>
  <si>
    <r>
      <t>μ</t>
    </r>
    <r>
      <rPr>
        <vertAlign val="subscript"/>
        <sz val="12"/>
        <rFont val="Times New Roman"/>
        <family val="1"/>
        <charset val="238"/>
      </rPr>
      <t>0</t>
    </r>
    <r>
      <rPr>
        <sz val="12"/>
        <rFont val="Times New Roman"/>
        <family val="1"/>
        <charset val="238"/>
      </rPr>
      <t xml:space="preserve"> = 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</si>
  <si>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α/2</t>
    </r>
    <r>
      <rPr>
        <sz val="12"/>
        <rFont val="Times New Roman"/>
        <family val="1"/>
        <charset val="238"/>
      </rPr>
      <t>(ν)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</si>
  <si>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α</t>
    </r>
    <r>
      <rPr>
        <sz val="12"/>
        <rFont val="Times New Roman"/>
        <family val="1"/>
        <charset val="238"/>
      </rPr>
      <t>(ν)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</si>
  <si>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1-α</t>
    </r>
    <r>
      <rPr>
        <sz val="12"/>
        <rFont val="Times New Roman"/>
        <family val="1"/>
        <charset val="238"/>
      </rPr>
      <t>(ν)</t>
    </r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</si>
  <si>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1-α/2</t>
    </r>
    <r>
      <rPr>
        <sz val="12"/>
        <rFont val="Times New Roman"/>
        <family val="1"/>
        <charset val="238"/>
      </rPr>
      <t>(ν)</t>
    </r>
  </si>
  <si>
    <r>
      <t>s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(x)</t>
    </r>
  </si>
  <si>
    <t>ν*</t>
  </si>
  <si>
    <r>
      <t>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 xml:space="preserve"> = </t>
    </r>
    <r>
      <rPr>
        <sz val="12"/>
        <rFont val="Times New Roman"/>
        <family val="1"/>
        <charset val="238"/>
      </rPr>
      <t>n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>–</t>
    </r>
    <r>
      <rPr>
        <sz val="12"/>
        <rFont val="Times New Roman"/>
        <family val="1"/>
        <charset val="238"/>
      </rPr>
      <t>1</t>
    </r>
  </si>
  <si>
    <r>
      <t>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 xml:space="preserve"> = </t>
    </r>
    <r>
      <rPr>
        <sz val="12"/>
        <rFont val="Times New Roman"/>
        <family val="1"/>
        <charset val="238"/>
      </rPr>
      <t>n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–</t>
    </r>
    <r>
      <rPr>
        <sz val="12"/>
        <rFont val="Times New Roman"/>
        <family val="1"/>
        <charset val="238"/>
      </rPr>
      <t>1</t>
    </r>
  </si>
  <si>
    <r>
      <t xml:space="preserve">ν = </t>
    </r>
    <r>
      <rPr>
        <sz val="12"/>
        <rFont val="Times New Roman"/>
        <family val="1"/>
        <charset val="238"/>
      </rPr>
      <t>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 xml:space="preserve"> + </t>
    </r>
    <r>
      <rPr>
        <sz val="12"/>
        <rFont val="Times New Roman"/>
        <family val="1"/>
        <charset val="238"/>
      </rPr>
      <t>ν</t>
    </r>
    <r>
      <rPr>
        <vertAlign val="subscript"/>
        <sz val="12"/>
        <rFont val="Times New Roman"/>
        <family val="1"/>
        <charset val="238"/>
      </rPr>
      <t>2</t>
    </r>
  </si>
  <si>
    <t>krit. hodn.</t>
  </si>
  <si>
    <r>
      <t>kvantily F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>,ν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</si>
  <si>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1-α/2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</si>
  <si>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α/2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</si>
  <si>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α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</si>
  <si>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F</t>
    </r>
    <r>
      <rPr>
        <vertAlign val="subscript"/>
        <sz val="11"/>
        <rFont val="Times New Roman"/>
        <family val="1"/>
        <charset val="238"/>
      </rPr>
      <t>1-α</t>
    </r>
    <r>
      <rPr>
        <sz val="11"/>
        <rFont val="Times New Roman"/>
        <family val="1"/>
        <charset val="238"/>
      </rPr>
      <t>(ν</t>
    </r>
    <r>
      <rPr>
        <vertAlign val="sub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>,ν</t>
    </r>
    <r>
      <rPr>
        <vertAlign val="sub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)</t>
    </r>
  </si>
  <si>
    <r>
      <t>kvantily t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(ν*)</t>
    </r>
  </si>
  <si>
    <r>
      <t>t</t>
    </r>
    <r>
      <rPr>
        <vertAlign val="subscript"/>
        <sz val="12"/>
        <rFont val="Times New Roman"/>
        <family val="1"/>
        <charset val="238"/>
      </rPr>
      <t>1-α</t>
    </r>
    <r>
      <rPr>
        <sz val="12"/>
        <rFont val="Times New Roman"/>
        <family val="1"/>
        <charset val="238"/>
      </rPr>
      <t>(ν*)</t>
    </r>
  </si>
  <si>
    <r>
      <t>t</t>
    </r>
    <r>
      <rPr>
        <vertAlign val="subscript"/>
        <sz val="12"/>
        <rFont val="Times New Roman"/>
        <family val="1"/>
        <charset val="238"/>
      </rPr>
      <t>1-α/2</t>
    </r>
    <r>
      <rPr>
        <sz val="12"/>
        <rFont val="Times New Roman"/>
        <family val="1"/>
        <charset val="238"/>
      </rPr>
      <t>(ν*)</t>
    </r>
  </si>
  <si>
    <r>
      <t>s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(y)</t>
    </r>
  </si>
  <si>
    <t>Oldřich Kříž</t>
  </si>
  <si>
    <t>Jiří Neubauer</t>
  </si>
  <si>
    <t>Marek Sedlačík</t>
  </si>
  <si>
    <t>kvantily Studentova rozdělení</t>
  </si>
  <si>
    <t xml:space="preserve">ν </t>
  </si>
  <si>
    <r>
      <t>χ</t>
    </r>
    <r>
      <rPr>
        <vertAlign val="superscript"/>
        <sz val="12"/>
        <rFont val="Times New Roman"/>
        <family val="1"/>
        <charset val="238"/>
      </rPr>
      <t>2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(ν) </t>
    </r>
  </si>
  <si>
    <r>
      <t>t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(ν) </t>
    </r>
  </si>
  <si>
    <r>
      <t>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 xml:space="preserve"> </t>
    </r>
  </si>
  <si>
    <r>
      <t>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 xml:space="preserve"> </t>
    </r>
  </si>
  <si>
    <r>
      <t>F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>(ν</t>
    </r>
    <r>
      <rPr>
        <vertAlign val="subscript"/>
        <sz val="12"/>
        <rFont val="Times New Roman"/>
        <family val="1"/>
        <charset val="238"/>
      </rPr>
      <t>1</t>
    </r>
    <r>
      <rPr>
        <sz val="12"/>
        <rFont val="Times New Roman"/>
        <family val="1"/>
        <charset val="238"/>
      </rPr>
      <t>,ν</t>
    </r>
    <r>
      <rPr>
        <vertAlign val="subscript"/>
        <sz val="12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 xml:space="preserve">)  </t>
    </r>
  </si>
  <si>
    <t>hodnoty distribuční funkce N(0, 1)</t>
  </si>
  <si>
    <t>Φ(u)</t>
  </si>
  <si>
    <t>hodnoty pravděpodobnostní funkce Poissonova rozdělení</t>
  </si>
  <si>
    <t>λ</t>
  </si>
  <si>
    <t>p(x)</t>
  </si>
  <si>
    <r>
      <t>s</t>
    </r>
    <r>
      <rPr>
        <vertAlign val="superscript"/>
        <sz val="12"/>
        <rFont val="Times New Roman CE"/>
        <charset val="238"/>
      </rPr>
      <t>2</t>
    </r>
  </si>
  <si>
    <t>Ověření normality</t>
  </si>
  <si>
    <t>moje data 1</t>
  </si>
  <si>
    <t>moje data 2</t>
  </si>
  <si>
    <r>
      <t xml:space="preserve">1. </t>
    </r>
    <r>
      <rPr>
        <u/>
        <sz val="12"/>
        <rFont val="Times New Roman CE"/>
        <family val="1"/>
        <charset val="238"/>
      </rPr>
      <t>Bodové odhady parametrů</t>
    </r>
  </si>
  <si>
    <r>
      <t xml:space="preserve">2. </t>
    </r>
    <r>
      <rPr>
        <u/>
        <sz val="12"/>
        <rFont val="Times New Roman CE"/>
        <family val="1"/>
        <charset val="238"/>
      </rPr>
      <t>Velikost výběru</t>
    </r>
  </si>
  <si>
    <r>
      <t xml:space="preserve">3. </t>
    </r>
    <r>
      <rPr>
        <u/>
        <sz val="12"/>
        <rFont val="Times New Roman CE"/>
        <family val="1"/>
        <charset val="238"/>
      </rPr>
      <t>Intervalové odhady pro střední hodnotu</t>
    </r>
  </si>
  <si>
    <r>
      <t xml:space="preserve">4. </t>
    </r>
    <r>
      <rPr>
        <u/>
        <sz val="12"/>
        <rFont val="Times New Roman CE"/>
        <family val="1"/>
        <charset val="238"/>
      </rPr>
      <t>Testy hypotéz o střední hodnotě</t>
    </r>
  </si>
  <si>
    <r>
      <t xml:space="preserve">5. </t>
    </r>
    <r>
      <rPr>
        <u/>
        <sz val="12"/>
        <rFont val="Times New Roman CE"/>
        <family val="1"/>
        <charset val="238"/>
      </rPr>
      <t>Intervalové odhady pro rozptyl</t>
    </r>
  </si>
  <si>
    <r>
      <t xml:space="preserve">6. </t>
    </r>
    <r>
      <rPr>
        <u/>
        <sz val="12"/>
        <rFont val="Times New Roman CE"/>
        <family val="1"/>
        <charset val="238"/>
      </rPr>
      <t>Intervalové odhady pro směrodatnou odchylku</t>
    </r>
  </si>
  <si>
    <r>
      <t xml:space="preserve">7. </t>
    </r>
    <r>
      <rPr>
        <u/>
        <sz val="12"/>
        <rFont val="Times New Roman CE"/>
        <family val="1"/>
        <charset val="238"/>
      </rPr>
      <t>Testy hypotéz o rozptylu</t>
    </r>
  </si>
  <si>
    <r>
      <t xml:space="preserve">1. </t>
    </r>
    <r>
      <rPr>
        <u/>
        <sz val="12"/>
        <rFont val="Times New Roman CE"/>
        <family val="1"/>
        <charset val="238"/>
      </rPr>
      <t>Testy hypotéz o shodě rozptylů</t>
    </r>
  </si>
  <si>
    <r>
      <t xml:space="preserve">hladina významnosti </t>
    </r>
    <r>
      <rPr>
        <sz val="12"/>
        <rFont val="Times New Roman"/>
        <family val="1"/>
        <charset val="238"/>
      </rPr>
      <t>α =</t>
    </r>
  </si>
  <si>
    <t>kombinovaný test o šikmosti a špičatosti: C-test</t>
  </si>
  <si>
    <t>test o nulové špičatosti</t>
  </si>
  <si>
    <t>test o nulové šikmosti</t>
  </si>
  <si>
    <t>Σ</t>
  </si>
  <si>
    <t>Výpočty z charakteristik</t>
  </si>
  <si>
    <t xml:space="preserve"> </t>
  </si>
  <si>
    <t>Pomůcka:</t>
  </si>
  <si>
    <t>rozpyl</t>
  </si>
  <si>
    <t>odchylka</t>
  </si>
  <si>
    <t>Zadejte hodnoty charakteristik:</t>
  </si>
  <si>
    <t>Zadejte pro oba výběry hodnoty charakteristik:</t>
  </si>
  <si>
    <r>
      <t xml:space="preserve">2. </t>
    </r>
    <r>
      <rPr>
        <u/>
        <sz val="12"/>
        <rFont val="Times New Roman CE"/>
        <family val="1"/>
        <charset val="238"/>
      </rPr>
      <t>Testy hypotéz o shodě středních hodnot za předpokladu homoskedasticity</t>
    </r>
  </si>
  <si>
    <r>
      <t xml:space="preserve">3. </t>
    </r>
    <r>
      <rPr>
        <u/>
        <sz val="12"/>
        <rFont val="Times New Roman CE"/>
        <family val="1"/>
        <charset val="238"/>
      </rPr>
      <t>Testy hypotéz o shodě středních hodnot za předpokladu heteroskedasticity</t>
    </r>
  </si>
  <si>
    <t>F</t>
  </si>
  <si>
    <r>
      <t>χ</t>
    </r>
    <r>
      <rPr>
        <vertAlign val="superscript"/>
        <sz val="12"/>
        <rFont val="Times New Roman CE"/>
        <charset val="238"/>
      </rPr>
      <t>2</t>
    </r>
    <r>
      <rPr>
        <sz val="12"/>
        <rFont val="Times New Roman CE"/>
        <charset val="238"/>
      </rPr>
      <t xml:space="preserve">  </t>
    </r>
  </si>
  <si>
    <r>
      <t xml:space="preserve">t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</si>
  <si>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r>
      <t>χ</t>
    </r>
    <r>
      <rPr>
        <vertAlign val="superscript"/>
        <sz val="12"/>
        <rFont val="Times New Roman CE"/>
        <charset val="238"/>
      </rPr>
      <t>2</t>
    </r>
    <r>
      <rPr>
        <sz val="12"/>
        <rFont val="Times New Roman CE"/>
        <charset val="238"/>
      </rPr>
      <t xml:space="preserve">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</si>
  <si>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r>
      <t xml:space="preserve">u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</si>
  <si>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r>
      <t xml:space="preserve">F </t>
    </r>
    <r>
      <rPr>
        <sz val="12"/>
        <rFont val="Symbol"/>
        <family val="1"/>
        <charset val="2"/>
      </rPr>
      <t xml:space="preserve">Î </t>
    </r>
    <r>
      <rPr>
        <sz val="12"/>
        <rFont val="Times New Roman"/>
        <family val="1"/>
        <charset val="238"/>
      </rPr>
      <t>W</t>
    </r>
    <r>
      <rPr>
        <vertAlign val="subscript"/>
        <sz val="12"/>
        <rFont val="Times New Roman"/>
        <family val="1"/>
        <charset val="238"/>
      </rPr>
      <t>α</t>
    </r>
  </si>
  <si>
    <t xml:space="preserve">      </t>
  </si>
  <si>
    <r>
      <t xml:space="preserve">1. </t>
    </r>
    <r>
      <rPr>
        <u/>
        <sz val="12"/>
        <rFont val="Times New Roman CE"/>
        <family val="1"/>
        <charset val="238"/>
      </rPr>
      <t>Bodový odhad podílu</t>
    </r>
  </si>
  <si>
    <r>
      <rPr>
        <sz val="12"/>
        <rFont val="Symbol"/>
        <family val="1"/>
        <charset val="2"/>
      </rPr>
      <t>p</t>
    </r>
    <r>
      <rPr>
        <vertAlign val="subscript"/>
        <sz val="12"/>
        <rFont val="Times New Roman"/>
        <family val="1"/>
        <charset val="238"/>
      </rPr>
      <t>0</t>
    </r>
    <r>
      <rPr>
        <sz val="12"/>
        <rFont val="Times New Roman"/>
        <family val="1"/>
        <charset val="238"/>
      </rPr>
      <t xml:space="preserve"> = </t>
    </r>
  </si>
  <si>
    <r>
      <t>p</t>
    </r>
    <r>
      <rPr>
        <vertAlign val="subscript"/>
        <sz val="12"/>
        <rFont val="Times New Roman CE"/>
        <charset val="238"/>
      </rPr>
      <t>1</t>
    </r>
  </si>
  <si>
    <t>Zadejte rozsah a hodnotu četnosti:</t>
  </si>
  <si>
    <t>Zadejte pro oba výběry rozsahy a hodnoty četností:</t>
  </si>
  <si>
    <t>estSE(p)</t>
  </si>
  <si>
    <r>
      <t xml:space="preserve">4. </t>
    </r>
    <r>
      <rPr>
        <u/>
        <sz val="12"/>
        <rFont val="Times New Roman CE"/>
        <family val="1"/>
        <charset val="238"/>
      </rPr>
      <t>Testy hypotéz o podílu</t>
    </r>
  </si>
  <si>
    <r>
      <t xml:space="preserve">3. </t>
    </r>
    <r>
      <rPr>
        <u/>
        <sz val="12"/>
        <rFont val="Times New Roman CE"/>
        <family val="1"/>
        <charset val="238"/>
      </rPr>
      <t>Intervalové odhady pro podíl</t>
    </r>
  </si>
  <si>
    <r>
      <t>p</t>
    </r>
    <r>
      <rPr>
        <vertAlign val="subscript"/>
        <sz val="12"/>
        <rFont val="Times New Roman CE"/>
        <charset val="238"/>
      </rPr>
      <t>2</t>
    </r>
  </si>
  <si>
    <r>
      <t>n</t>
    </r>
    <r>
      <rPr>
        <vertAlign val="subscript"/>
        <sz val="12"/>
        <rFont val="Times New Roman CE"/>
        <charset val="238"/>
      </rPr>
      <t>1</t>
    </r>
  </si>
  <si>
    <r>
      <t>n</t>
    </r>
    <r>
      <rPr>
        <vertAlign val="subscript"/>
        <sz val="12"/>
        <rFont val="Times New Roman CE"/>
        <charset val="238"/>
      </rPr>
      <t>2</t>
    </r>
  </si>
  <si>
    <r>
      <t>m</t>
    </r>
    <r>
      <rPr>
        <vertAlign val="subscript"/>
        <sz val="12"/>
        <rFont val="Times New Roman CE"/>
        <charset val="238"/>
      </rPr>
      <t>1</t>
    </r>
  </si>
  <si>
    <r>
      <t>m</t>
    </r>
    <r>
      <rPr>
        <vertAlign val="subscript"/>
        <sz val="12"/>
        <rFont val="Times New Roman CE"/>
        <charset val="238"/>
      </rPr>
      <t>2</t>
    </r>
  </si>
  <si>
    <r>
      <t>n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(1</t>
    </r>
    <r>
      <rPr>
        <sz val="12"/>
        <rFont val="Times New Roman"/>
        <family val="1"/>
        <charset val="238"/>
      </rPr>
      <t>–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1</t>
    </r>
    <r>
      <rPr>
        <sz val="12"/>
        <rFont val="Times New Roman CE"/>
        <charset val="238"/>
      </rPr>
      <t>)</t>
    </r>
  </si>
  <si>
    <r>
      <t>n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(1</t>
    </r>
    <r>
      <rPr>
        <sz val="12"/>
        <rFont val="Times New Roman"/>
        <family val="1"/>
        <charset val="238"/>
      </rPr>
      <t>–</t>
    </r>
    <r>
      <rPr>
        <sz val="12"/>
        <rFont val="Times New Roman CE"/>
        <charset val="238"/>
      </rPr>
      <t>p</t>
    </r>
    <r>
      <rPr>
        <vertAlign val="subscript"/>
        <sz val="12"/>
        <rFont val="Times New Roman CE"/>
        <charset val="238"/>
      </rPr>
      <t>2</t>
    </r>
    <r>
      <rPr>
        <sz val="12"/>
        <rFont val="Times New Roman CE"/>
        <charset val="238"/>
      </rPr>
      <t>)</t>
    </r>
  </si>
  <si>
    <r>
      <t>Odhady a testy pro podíly jednotek v populaci - výběry z A(</t>
    </r>
    <r>
      <rPr>
        <b/>
        <u/>
        <sz val="12"/>
        <rFont val="Times New Roman"/>
        <family val="1"/>
        <charset val="238"/>
      </rPr>
      <t>π</t>
    </r>
    <r>
      <rPr>
        <b/>
        <u/>
        <sz val="12"/>
        <rFont val="Times New Roman CE"/>
        <family val="1"/>
        <charset val="238"/>
      </rPr>
      <t>)</t>
    </r>
  </si>
  <si>
    <t>Jeden výběr z A(π) - výpočty z charakteristik</t>
  </si>
  <si>
    <t>Dva výběry z A(π) - výpočty z charakteristik</t>
  </si>
  <si>
    <r>
      <t>np(1</t>
    </r>
    <r>
      <rPr>
        <sz val="12"/>
        <rFont val="Times New Roman"/>
        <family val="1"/>
        <charset val="238"/>
      </rPr>
      <t>–</t>
    </r>
    <r>
      <rPr>
        <sz val="12"/>
        <rFont val="Times New Roman CE"/>
        <family val="1"/>
        <charset val="238"/>
      </rPr>
      <t>p)</t>
    </r>
  </si>
  <si>
    <t>moje data 3</t>
  </si>
  <si>
    <t>kombinovaný test o šikmosti a špičatosti: modifikovaný C-test</t>
  </si>
  <si>
    <r>
      <t>z</t>
    </r>
    <r>
      <rPr>
        <vertAlign val="subscript"/>
        <sz val="12"/>
        <rFont val="Times New Roman CE"/>
        <charset val="238"/>
      </rPr>
      <t>3</t>
    </r>
  </si>
  <si>
    <r>
      <t>z</t>
    </r>
    <r>
      <rPr>
        <vertAlign val="subscript"/>
        <sz val="12"/>
        <rFont val="Times New Roman CE"/>
        <charset val="238"/>
      </rPr>
      <t>4</t>
    </r>
  </si>
  <si>
    <t>C'</t>
  </si>
  <si>
    <t>B</t>
  </si>
  <si>
    <t>modifikovaný test o nulové šikmosti</t>
  </si>
  <si>
    <t>modifikovaný test o nulové špičatosti</t>
  </si>
  <si>
    <r>
      <t>W</t>
    </r>
    <r>
      <rPr>
        <vertAlign val="superscript"/>
        <sz val="12"/>
        <rFont val="Times New Roman CE"/>
        <charset val="238"/>
      </rPr>
      <t>2</t>
    </r>
  </si>
  <si>
    <t>Aplikace STAT1</t>
  </si>
  <si>
    <t>Testy hypotéz o shodě dvou podílů</t>
  </si>
  <si>
    <t>prach ve vzduchu</t>
  </si>
  <si>
    <t>koncentrace</t>
  </si>
  <si>
    <t>tuk v mléku</t>
  </si>
  <si>
    <t>válečky</t>
  </si>
  <si>
    <t>žárovky</t>
  </si>
  <si>
    <t>tank</t>
  </si>
  <si>
    <t>automat</t>
  </si>
  <si>
    <t>kvantil N(0,1)</t>
  </si>
  <si>
    <t>kvantil</t>
  </si>
  <si>
    <t>prumer</t>
  </si>
  <si>
    <t>std</t>
  </si>
  <si>
    <t>x0,25</t>
  </si>
  <si>
    <t>x0,75</t>
  </si>
  <si>
    <r>
      <t>a</t>
    </r>
    <r>
      <rPr>
        <vertAlign val="subscript"/>
        <sz val="12"/>
        <rFont val="Times New Roman CE"/>
        <charset val="238"/>
      </rPr>
      <t>4</t>
    </r>
  </si>
  <si>
    <r>
      <t>a</t>
    </r>
    <r>
      <rPr>
        <vertAlign val="subscript"/>
        <sz val="12"/>
        <rFont val="Times New Roman CE"/>
        <charset val="238"/>
      </rPr>
      <t>3</t>
    </r>
    <r>
      <rPr>
        <sz val="12"/>
        <rFont val="Times New Roman CE"/>
        <family val="1"/>
        <charset val="238"/>
      </rPr>
      <t xml:space="preserve"> </t>
    </r>
  </si>
  <si>
    <t>QQ-plot</t>
  </si>
  <si>
    <t>box-plot</t>
  </si>
  <si>
    <t>min</t>
  </si>
  <si>
    <t>max</t>
  </si>
  <si>
    <t>x0,50</t>
  </si>
  <si>
    <t>průměr</t>
  </si>
  <si>
    <t>Diskrétní modely</t>
  </si>
  <si>
    <t>Poissonovo rozdělení</t>
  </si>
  <si>
    <t>F(x)</t>
  </si>
  <si>
    <t>binomické rozdělení</t>
  </si>
  <si>
    <t>hypergeometrické rozdělení</t>
  </si>
  <si>
    <t>π</t>
  </si>
  <si>
    <t>M</t>
  </si>
  <si>
    <t>N</t>
  </si>
  <si>
    <t>Spojité modely</t>
  </si>
  <si>
    <t>rovnoměrné rozdělení</t>
  </si>
  <si>
    <t>β</t>
  </si>
  <si>
    <t>f(x)</t>
  </si>
  <si>
    <t>exponenciální rozdělení</t>
  </si>
  <si>
    <t>δ</t>
  </si>
  <si>
    <r>
      <t>kvantil x</t>
    </r>
    <r>
      <rPr>
        <vertAlign val="subscript"/>
        <sz val="12"/>
        <rFont val="Times New Roman"/>
        <family val="1"/>
        <charset val="238"/>
      </rPr>
      <t>p</t>
    </r>
    <r>
      <rPr>
        <sz val="12"/>
        <rFont val="Times New Roman"/>
        <family val="1"/>
        <charset val="238"/>
      </rPr>
      <t xml:space="preserve"> </t>
    </r>
  </si>
  <si>
    <t>normální rozdělení</t>
  </si>
  <si>
    <t>μ</t>
  </si>
  <si>
    <r>
      <rPr>
        <sz val="12"/>
        <rFont val="Calibri"/>
        <family val="2"/>
        <charset val="238"/>
      </rPr>
      <t>σ</t>
    </r>
    <r>
      <rPr>
        <vertAlign val="superscript"/>
        <sz val="12"/>
        <rFont val="Times New Roman"/>
        <family val="1"/>
        <charset val="238"/>
      </rPr>
      <t>2</t>
    </r>
  </si>
  <si>
    <t>logaritmicko-normální rozdělení</t>
  </si>
  <si>
    <r>
      <t>ν</t>
    </r>
    <r>
      <rPr>
        <vertAlign val="subscript"/>
        <sz val="12"/>
        <rFont val="Times New Roman"/>
        <family val="1"/>
        <charset val="238"/>
      </rPr>
      <t>1</t>
    </r>
  </si>
  <si>
    <r>
      <t>ν</t>
    </r>
    <r>
      <rPr>
        <vertAlign val="subscript"/>
        <sz val="12"/>
        <rFont val="Times New Roman"/>
        <family val="1"/>
        <charset val="238"/>
      </rPr>
      <t>2</t>
    </r>
  </si>
  <si>
    <t xml:space="preserve">Základy statistiky  </t>
  </si>
  <si>
    <t>Aplikace v technických a ekonomických oborech</t>
  </si>
  <si>
    <t>benzín</t>
  </si>
  <si>
    <t>skok kontrolní</t>
  </si>
  <si>
    <t>skok experimentální</t>
  </si>
  <si>
    <t>před kurzem</t>
  </si>
  <si>
    <t>po kurzu</t>
  </si>
  <si>
    <t>videokazety</t>
  </si>
  <si>
    <t>Statistické tabulky</t>
  </si>
  <si>
    <r>
      <t>σ</t>
    </r>
    <r>
      <rPr>
        <vertAlign val="superscript"/>
        <sz val="12"/>
        <rFont val="Times New Roman"/>
        <family val="1"/>
        <charset val="238"/>
      </rPr>
      <t>2</t>
    </r>
  </si>
  <si>
    <t>A10</t>
  </si>
  <si>
    <t>A9</t>
  </si>
  <si>
    <t>A8</t>
  </si>
  <si>
    <t>A7</t>
  </si>
  <si>
    <t>A6</t>
  </si>
  <si>
    <t>A5</t>
  </si>
  <si>
    <t>A4</t>
  </si>
  <si>
    <t>A3</t>
  </si>
  <si>
    <t>A2</t>
  </si>
  <si>
    <t>A1</t>
  </si>
  <si>
    <t>B10</t>
  </si>
  <si>
    <t>B9</t>
  </si>
  <si>
    <t>B8</t>
  </si>
  <si>
    <t>B7</t>
  </si>
  <si>
    <t>B6</t>
  </si>
  <si>
    <t>B5</t>
  </si>
  <si>
    <t>B4</t>
  </si>
  <si>
    <t>B3</t>
  </si>
  <si>
    <t>B2</t>
  </si>
  <si>
    <t>B1</t>
  </si>
  <si>
    <r>
      <rPr>
        <i/>
        <sz val="12"/>
        <rFont val="Times New Roman"/>
        <family val="1"/>
        <charset val="238"/>
      </rPr>
      <t>n</t>
    </r>
    <r>
      <rPr>
        <i/>
        <vertAlign val="subscript"/>
        <sz val="10"/>
        <rFont val="Times New Roman"/>
        <family val="1"/>
        <charset val="238"/>
      </rPr>
      <t>●</t>
    </r>
    <r>
      <rPr>
        <i/>
        <vertAlign val="subscript"/>
        <sz val="12"/>
        <rFont val="Times New Roman"/>
        <family val="1"/>
        <charset val="238"/>
      </rPr>
      <t>j</t>
    </r>
  </si>
  <si>
    <r>
      <t>x</t>
    </r>
    <r>
      <rPr>
        <b/>
        <vertAlign val="subscript"/>
        <sz val="12"/>
        <rFont val="Times New Roman"/>
        <family val="1"/>
        <charset val="238"/>
      </rPr>
      <t>10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</si>
  <si>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9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</si>
  <si>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8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</si>
  <si>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7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</si>
  <si>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6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</si>
  <si>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5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</si>
  <si>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4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</si>
  <si>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3</t>
    </r>
    <r>
      <rPr>
        <sz val="10"/>
        <rFont val="Arial CE"/>
        <charset val="238"/>
      </rPr>
      <t/>
    </r>
  </si>
  <si>
    <r>
      <t>x</t>
    </r>
    <r>
      <rPr>
        <b/>
        <vertAlign val="subscript"/>
        <sz val="12"/>
        <rFont val="Times New Roman"/>
        <family val="1"/>
        <charset val="238"/>
      </rPr>
      <t>2</t>
    </r>
  </si>
  <si>
    <r>
      <t>x</t>
    </r>
    <r>
      <rPr>
        <b/>
        <vertAlign val="subscript"/>
        <sz val="12"/>
        <rFont val="Times New Roman"/>
        <family val="1"/>
        <charset val="238"/>
      </rPr>
      <t>1</t>
    </r>
  </si>
  <si>
    <t>po řádcích</t>
  </si>
  <si>
    <t>ověření podmínky, že teoretické četnosti by měly být větší než 5</t>
  </si>
  <si>
    <r>
      <rPr>
        <i/>
        <sz val="12"/>
        <rFont val="Times New Roman"/>
        <family val="1"/>
        <charset val="238"/>
      </rPr>
      <t>n</t>
    </r>
    <r>
      <rPr>
        <i/>
        <vertAlign val="subscript"/>
        <sz val="12"/>
        <rFont val="Cambria"/>
        <family val="1"/>
        <charset val="238"/>
      </rPr>
      <t>i</t>
    </r>
    <r>
      <rPr>
        <vertAlign val="subscript"/>
        <sz val="8"/>
        <rFont val="Cambria"/>
        <family val="1"/>
        <charset val="238"/>
      </rPr>
      <t>●</t>
    </r>
  </si>
  <si>
    <r>
      <t>y</t>
    </r>
    <r>
      <rPr>
        <b/>
        <vertAlign val="subscript"/>
        <sz val="12"/>
        <rFont val="Times New Roman"/>
        <family val="1"/>
        <charset val="238"/>
      </rPr>
      <t>10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</si>
  <si>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9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</si>
  <si>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8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</si>
  <si>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7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</si>
  <si>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6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</si>
  <si>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5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</si>
  <si>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4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</si>
  <si>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3</t>
    </r>
    <r>
      <rPr>
        <sz val="10"/>
        <rFont val="Arial CE"/>
        <charset val="238"/>
      </rPr>
      <t/>
    </r>
  </si>
  <si>
    <r>
      <t>y</t>
    </r>
    <r>
      <rPr>
        <b/>
        <vertAlign val="subscript"/>
        <sz val="12"/>
        <rFont val="Times New Roman"/>
        <family val="1"/>
        <charset val="238"/>
      </rPr>
      <t>2</t>
    </r>
  </si>
  <si>
    <r>
      <t>y</t>
    </r>
    <r>
      <rPr>
        <b/>
        <vertAlign val="subscript"/>
        <sz val="12"/>
        <rFont val="Times New Roman"/>
        <family val="1"/>
        <charset val="238"/>
      </rPr>
      <t>1</t>
    </r>
  </si>
  <si>
    <t>podmínka splněna</t>
  </si>
  <si>
    <t>Teoretické četnosti</t>
  </si>
  <si>
    <t>hladina významnosti</t>
  </si>
  <si>
    <t>počet sloupců</t>
  </si>
  <si>
    <t>krit. hodnota</t>
  </si>
  <si>
    <t>st. volnosti</t>
  </si>
  <si>
    <t>spolehlivost</t>
  </si>
  <si>
    <t>počet řádků</t>
  </si>
  <si>
    <t>Znaky X a Y jsou závislé</t>
  </si>
  <si>
    <t>Alternativní hypotéza:</t>
  </si>
  <si>
    <t>Empirické četnosti</t>
  </si>
  <si>
    <t>Znaky X a Y jsou nezávislé</t>
  </si>
  <si>
    <t>Nulová hypotéza:</t>
  </si>
  <si>
    <r>
      <t>χ</t>
    </r>
    <r>
      <rPr>
        <b/>
        <u/>
        <vertAlign val="superscript"/>
        <sz val="12"/>
        <rFont val="Times New Roman"/>
        <family val="1"/>
        <charset val="238"/>
      </rPr>
      <t xml:space="preserve">2 </t>
    </r>
    <r>
      <rPr>
        <b/>
        <u/>
        <sz val="12"/>
        <rFont val="Times New Roman"/>
        <family val="1"/>
        <charset val="238"/>
      </rPr>
      <t>-test nezávislosti v kontingenční tabulce</t>
    </r>
  </si>
  <si>
    <t>výška dětí</t>
  </si>
  <si>
    <t>(postup: Domů-Buňky-Formát-Viditelnost)</t>
  </si>
  <si>
    <t xml:space="preserve">(postup: Domů-Buňky-Formát-Viditelnost) </t>
  </si>
  <si>
    <t>Pozn.: Označené řádky s nulovými četnostmi je možné skrýt</t>
  </si>
  <si>
    <t>3. rozšířené vydání</t>
  </si>
  <si>
    <t>Grada 2021</t>
  </si>
  <si>
    <t>42-1 laťovky</t>
  </si>
  <si>
    <t>42-2 koncentrace</t>
  </si>
  <si>
    <t>42-3 test z matematiky</t>
  </si>
  <si>
    <t>42-4 zemětřesení</t>
  </si>
  <si>
    <t>42-5 rychlost aut</t>
  </si>
  <si>
    <t>49-2 hodnoty</t>
  </si>
  <si>
    <t>61-1 trestné střílení</t>
  </si>
  <si>
    <t>61-2 hmotnost soli</t>
  </si>
  <si>
    <t>62-3 příchod obsluhy</t>
  </si>
  <si>
    <t>171-3 tank nástup</t>
  </si>
  <si>
    <t>171-4 čas operace</t>
  </si>
  <si>
    <t>184-6 letadlo</t>
  </si>
  <si>
    <t xml:space="preserve">184-7 obilí </t>
  </si>
  <si>
    <t>185-8 výrobek</t>
  </si>
  <si>
    <t>185-10 disky</t>
  </si>
  <si>
    <t>209-2 káva</t>
  </si>
  <si>
    <t>209-5 nápoj</t>
  </si>
  <si>
    <t>210-10 cestující</t>
  </si>
  <si>
    <t>210-12 nerost</t>
  </si>
  <si>
    <t>221-2 samice</t>
  </si>
  <si>
    <t>221-2 samec</t>
  </si>
  <si>
    <t>221-3 1.metoda</t>
  </si>
  <si>
    <t>221-3 2.metoda</t>
  </si>
  <si>
    <t>222-5 směs A</t>
  </si>
  <si>
    <t>222-5 směs B</t>
  </si>
  <si>
    <t>222-6 dodavatel A</t>
  </si>
  <si>
    <t>222-6 dodavatel B</t>
  </si>
  <si>
    <t>223-8 shyby před</t>
  </si>
  <si>
    <t>223-8 shyby po</t>
  </si>
  <si>
    <t>223-13 německá sůl</t>
  </si>
  <si>
    <t>223-13 ruská sůl</t>
  </si>
  <si>
    <t>223-14 porost A</t>
  </si>
  <si>
    <t>223-14 porost B</t>
  </si>
  <si>
    <t>223-15 výškoměr A</t>
  </si>
  <si>
    <t>223-15 výškoměr B</t>
  </si>
  <si>
    <t>236-4 zásahy</t>
  </si>
  <si>
    <t>236-5 mléko</t>
  </si>
  <si>
    <t>236-8 počet aut</t>
  </si>
  <si>
    <t>236-10 vepři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</si>
</sst>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K_č_-;\-* #,##0.00\ _K_č_-;_-* &quot;-&quot;??\ _K_č_-;_-@_-"/>
    <numFmt numFmtId="164" formatCode="0.000"/>
    <numFmt numFmtId="165" formatCode="0.0"/>
    <numFmt numFmtId="166" formatCode="0.00000"/>
    <numFmt numFmtId="167" formatCode="0.000000"/>
    <numFmt numFmtId="168" formatCode="#,##0.000"/>
  </numFmts>
  <fonts count="69" x14ac:knownFonts="1">
    <font>
      <sz val="10"/>
      <name val="Arial"/>
      <charset val="238"/>
    </font>
    <font>
      <sz val="12"/>
      <color theme="1"/>
      <name val="Times New Roman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Times New Roman"/>
      <family val="1"/>
    </font>
    <font>
      <sz val="12"/>
      <name val="Times New Roman CE"/>
      <charset val="238"/>
    </font>
    <font>
      <sz val="12"/>
      <name val="Times New Roman CE"/>
      <family val="1"/>
      <charset val="238"/>
    </font>
    <font>
      <sz val="8"/>
      <name val="Times New Roman CE"/>
      <family val="1"/>
      <charset val="238"/>
    </font>
    <font>
      <b/>
      <u/>
      <sz val="12"/>
      <name val="Times New Roman CE"/>
      <charset val="238"/>
    </font>
    <font>
      <sz val="12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vertAlign val="subscript"/>
      <sz val="12"/>
      <name val="Times New Roman CE"/>
      <family val="1"/>
      <charset val="238"/>
    </font>
    <font>
      <sz val="12"/>
      <name val="Symbol"/>
      <family val="1"/>
      <charset val="2"/>
    </font>
    <font>
      <sz val="12"/>
      <color indexed="10"/>
      <name val="Times New Roman CE"/>
      <family val="1"/>
      <charset val="238"/>
    </font>
    <font>
      <sz val="12"/>
      <color indexed="10"/>
      <name val="Times New Roman CE"/>
      <charset val="238"/>
    </font>
    <font>
      <vertAlign val="superscript"/>
      <sz val="12"/>
      <name val="Times New Roman CE"/>
      <family val="1"/>
      <charset val="238"/>
    </font>
    <font>
      <sz val="12"/>
      <color indexed="8"/>
      <name val="Times New Roman CE"/>
      <family val="1"/>
      <charset val="238"/>
    </font>
    <font>
      <b/>
      <sz val="12"/>
      <name val="Times New Roman CE"/>
      <family val="1"/>
      <charset val="238"/>
    </font>
    <font>
      <u/>
      <sz val="12"/>
      <name val="Times New Roman CE"/>
      <family val="1"/>
      <charset val="238"/>
    </font>
    <font>
      <b/>
      <sz val="12"/>
      <name val="Times New Roman CE"/>
      <charset val="238"/>
    </font>
    <font>
      <b/>
      <u/>
      <sz val="12"/>
      <name val="Times New Roman CE"/>
      <family val="1"/>
      <charset val="238"/>
    </font>
    <font>
      <sz val="12"/>
      <color indexed="41"/>
      <name val="Times New Roman CE"/>
      <family val="1"/>
      <charset val="238"/>
    </font>
    <font>
      <b/>
      <sz val="12"/>
      <color indexed="10"/>
      <name val="Times New Roman CE"/>
      <charset val="238"/>
    </font>
    <font>
      <sz val="10"/>
      <name val="Times New Roman CE"/>
      <charset val="238"/>
    </font>
    <font>
      <vertAlign val="subscript"/>
      <sz val="12"/>
      <name val="Times New Roman CE"/>
      <charset val="238"/>
    </font>
    <font>
      <sz val="12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0"/>
      <name val="Arial CE"/>
      <charset val="238"/>
    </font>
    <font>
      <b/>
      <sz val="12"/>
      <name val="Arial CE"/>
      <family val="2"/>
      <charset val="238"/>
    </font>
    <font>
      <sz val="12"/>
      <name val="Arial CE"/>
      <charset val="238"/>
    </font>
    <font>
      <vertAlign val="subscript"/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vertAlign val="superscript"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3"/>
      <name val="Times New Roman"/>
      <family val="1"/>
      <charset val="238"/>
    </font>
    <font>
      <vertAlign val="subscript"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2"/>
      <name val="Times New Roman"/>
      <family val="1"/>
      <charset val="238"/>
    </font>
    <font>
      <vertAlign val="superscript"/>
      <sz val="12"/>
      <name val="Times New Roman CE"/>
      <charset val="238"/>
    </font>
    <font>
      <u/>
      <sz val="12"/>
      <name val="Times New Roman CE"/>
      <charset val="238"/>
    </font>
    <font>
      <sz val="8"/>
      <color indexed="81"/>
      <name val="Tahoma"/>
      <family val="2"/>
      <charset val="238"/>
    </font>
    <font>
      <i/>
      <sz val="8"/>
      <color indexed="81"/>
      <name val="Tahoma"/>
      <family val="2"/>
      <charset val="238"/>
    </font>
    <font>
      <b/>
      <sz val="12"/>
      <color indexed="10"/>
      <name val="Times New Roman CE"/>
      <charset val="238"/>
    </font>
    <font>
      <b/>
      <sz val="12"/>
      <color indexed="10"/>
      <name val="Times New Roman CE"/>
      <charset val="238"/>
    </font>
    <font>
      <sz val="12"/>
      <color indexed="10"/>
      <name val="Times New Roman CE"/>
      <family val="1"/>
      <charset val="238"/>
    </font>
    <font>
      <sz val="9"/>
      <color indexed="81"/>
      <name val="Tahoma"/>
      <family val="2"/>
      <charset val="238"/>
    </font>
    <font>
      <sz val="12"/>
      <color indexed="9"/>
      <name val="Times New Roman CE"/>
      <charset val="238"/>
    </font>
    <font>
      <sz val="12"/>
      <color indexed="9"/>
      <name val="Times New Roman CE"/>
      <family val="1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9"/>
      <name val="Times New Roman"/>
      <family val="1"/>
      <charset val="238"/>
    </font>
    <font>
      <b/>
      <sz val="17"/>
      <color rgb="FFFF0000"/>
      <name val="Arial CE"/>
      <charset val="238"/>
    </font>
    <font>
      <b/>
      <i/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vertAlign val="subscript"/>
      <sz val="10"/>
      <name val="Times New Roman"/>
      <family val="1"/>
      <charset val="238"/>
    </font>
    <font>
      <i/>
      <vertAlign val="subscript"/>
      <sz val="12"/>
      <name val="Times New Roman"/>
      <family val="1"/>
      <charset val="238"/>
    </font>
    <font>
      <b/>
      <vertAlign val="subscript"/>
      <sz val="12"/>
      <name val="Times New Roman"/>
      <family val="1"/>
      <charset val="238"/>
    </font>
    <font>
      <i/>
      <vertAlign val="subscript"/>
      <sz val="12"/>
      <name val="Cambria"/>
      <family val="1"/>
      <charset val="238"/>
    </font>
    <font>
      <vertAlign val="subscript"/>
      <sz val="8"/>
      <name val="Cambria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name val="Times New Roman"/>
      <family val="1"/>
      <charset val="238"/>
    </font>
    <font>
      <b/>
      <u/>
      <vertAlign val="superscript"/>
      <sz val="12"/>
      <name val="Times New Roman"/>
      <family val="1"/>
      <charset val="238"/>
    </font>
    <font>
      <sz val="8"/>
      <color rgb="FF000000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43" fontId="2" fillId="0" borderId="0"/>
    <xf numFmtId="0" fontId="3" fillId="0" borderId="0"/>
    <xf numFmtId="0" fontId="52" fillId="0" borderId="0"/>
    <xf numFmtId="0" fontId="5" fillId="0" borderId="0"/>
    <xf numFmtId="0" fontId="5" fillId="0" borderId="0"/>
    <xf numFmtId="0" fontId="29" fillId="0" borderId="0"/>
    <xf numFmtId="0" fontId="3" fillId="0" borderId="0"/>
    <xf numFmtId="0" fontId="25" fillId="0" borderId="0"/>
    <xf numFmtId="0" fontId="9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</cellStyleXfs>
  <cellXfs count="603">
    <xf numFmtId="0" fontId="0" fillId="0" borderId="0" xfId="0"/>
    <xf numFmtId="0" fontId="8" fillId="0" borderId="0" xfId="11" applyFont="1" applyBorder="1" applyAlignment="1" applyProtection="1">
      <alignment vertical="center"/>
      <protection hidden="1"/>
    </xf>
    <xf numFmtId="0" fontId="6" fillId="0" borderId="0" xfId="11" applyFont="1" applyBorder="1" applyProtection="1">
      <protection hidden="1"/>
    </xf>
    <xf numFmtId="0" fontId="5" fillId="0" borderId="0" xfId="5" applyAlignment="1" applyProtection="1">
      <alignment horizontal="center" vertical="center"/>
      <protection hidden="1"/>
    </xf>
    <xf numFmtId="0" fontId="5" fillId="0" borderId="0" xfId="5" applyBorder="1" applyAlignment="1" applyProtection="1">
      <alignment horizontal="center" vertical="center"/>
      <protection hidden="1"/>
    </xf>
    <xf numFmtId="0" fontId="6" fillId="0" borderId="0" xfId="11" applyBorder="1" applyAlignment="1" applyProtection="1">
      <alignment vertical="center"/>
      <protection hidden="1"/>
    </xf>
    <xf numFmtId="0" fontId="6" fillId="0" borderId="0" xfId="11" applyBorder="1" applyAlignment="1" applyProtection="1">
      <protection hidden="1"/>
    </xf>
    <xf numFmtId="165" fontId="6" fillId="0" borderId="0" xfId="11" applyNumberFormat="1" applyFont="1" applyFill="1" applyBorder="1" applyAlignment="1" applyProtection="1">
      <alignment horizontal="right"/>
      <protection hidden="1"/>
    </xf>
    <xf numFmtId="0" fontId="13" fillId="0" borderId="0" xfId="11" applyNumberFormat="1" applyFont="1" applyFill="1" applyBorder="1" applyAlignment="1" applyProtection="1">
      <alignment horizontal="left"/>
      <protection hidden="1"/>
    </xf>
    <xf numFmtId="0" fontId="6" fillId="0" borderId="0" xfId="11" applyBorder="1" applyAlignment="1" applyProtection="1">
      <alignment horizontal="right"/>
      <protection hidden="1"/>
    </xf>
    <xf numFmtId="0" fontId="6" fillId="0" borderId="0" xfId="11" applyFont="1" applyBorder="1" applyAlignment="1" applyProtection="1">
      <protection hidden="1"/>
    </xf>
    <xf numFmtId="165" fontId="6" fillId="0" borderId="0" xfId="11" applyNumberFormat="1" applyFont="1" applyBorder="1" applyAlignment="1" applyProtection="1">
      <alignment horizontal="right"/>
      <protection hidden="1"/>
    </xf>
    <xf numFmtId="0" fontId="13" fillId="0" borderId="0" xfId="11" applyNumberFormat="1" applyFont="1" applyBorder="1" applyAlignment="1" applyProtection="1">
      <alignment horizontal="left"/>
      <protection hidden="1"/>
    </xf>
    <xf numFmtId="0" fontId="6" fillId="0" borderId="1" xfId="11" applyFont="1" applyFill="1" applyBorder="1" applyAlignment="1" applyProtection="1">
      <alignment horizontal="center" vertical="top"/>
      <protection hidden="1"/>
    </xf>
    <xf numFmtId="0" fontId="6" fillId="2" borderId="2" xfId="11" applyFont="1" applyFill="1" applyBorder="1" applyAlignment="1" applyProtection="1">
      <alignment horizontal="center" vertical="top"/>
      <protection hidden="1"/>
    </xf>
    <xf numFmtId="0" fontId="6" fillId="0" borderId="2" xfId="11" applyFont="1" applyFill="1" applyBorder="1" applyAlignment="1" applyProtection="1">
      <alignment horizontal="center" vertical="top"/>
      <protection hidden="1"/>
    </xf>
    <xf numFmtId="0" fontId="6" fillId="0" borderId="2" xfId="11" applyFont="1" applyFill="1" applyBorder="1" applyAlignment="1" applyProtection="1">
      <alignment horizontal="center" vertical="center"/>
      <protection hidden="1"/>
    </xf>
    <xf numFmtId="0" fontId="6" fillId="0" borderId="3" xfId="11" applyFont="1" applyFill="1" applyBorder="1" applyAlignment="1" applyProtection="1">
      <alignment horizontal="center" vertical="center"/>
      <protection hidden="1"/>
    </xf>
    <xf numFmtId="0" fontId="5" fillId="0" borderId="4" xfId="5" applyBorder="1" applyAlignment="1" applyProtection="1">
      <alignment horizontal="center" vertical="center"/>
      <protection hidden="1"/>
    </xf>
    <xf numFmtId="0" fontId="5" fillId="2" borderId="4" xfId="5" applyFill="1" applyBorder="1" applyAlignment="1" applyProtection="1">
      <alignment horizontal="center" vertical="center"/>
      <protection hidden="1"/>
    </xf>
    <xf numFmtId="0" fontId="5" fillId="0" borderId="4" xfId="5" applyFont="1" applyFill="1" applyBorder="1" applyAlignment="1" applyProtection="1">
      <alignment horizontal="center" vertical="center"/>
      <protection hidden="1"/>
    </xf>
    <xf numFmtId="0" fontId="5" fillId="0" borderId="0" xfId="5" applyFont="1" applyBorder="1" applyAlignment="1" applyProtection="1">
      <alignment horizontal="left" vertical="center"/>
      <protection hidden="1"/>
    </xf>
    <xf numFmtId="0" fontId="6" fillId="0" borderId="5" xfId="11" applyNumberFormat="1" applyFont="1" applyBorder="1" applyAlignment="1" applyProtection="1">
      <alignment horizontal="center" vertical="center"/>
      <protection hidden="1"/>
    </xf>
    <xf numFmtId="0" fontId="6" fillId="2" borderId="4" xfId="11" applyFont="1" applyFill="1" applyBorder="1" applyAlignment="1" applyProtection="1">
      <alignment horizontal="center" vertical="center"/>
      <protection hidden="1"/>
    </xf>
    <xf numFmtId="2" fontId="16" fillId="0" borderId="4" xfId="11" applyNumberFormat="1" applyFont="1" applyFill="1" applyBorder="1" applyAlignment="1" applyProtection="1">
      <alignment horizontal="center" vertical="center"/>
      <protection hidden="1"/>
    </xf>
    <xf numFmtId="0" fontId="6" fillId="0" borderId="4" xfId="11" applyNumberFormat="1" applyFont="1" applyBorder="1" applyAlignment="1" applyProtection="1">
      <alignment horizontal="center" vertical="center"/>
      <protection hidden="1"/>
    </xf>
    <xf numFmtId="2" fontId="6" fillId="3" borderId="6" xfId="11" applyNumberFormat="1" applyFont="1" applyFill="1" applyBorder="1" applyAlignment="1" applyProtection="1">
      <alignment horizontal="center" vertical="center"/>
      <protection hidden="1"/>
    </xf>
    <xf numFmtId="0" fontId="22" fillId="0" borderId="4" xfId="5" applyFont="1" applyFill="1" applyBorder="1" applyAlignment="1" applyProtection="1">
      <alignment horizontal="center" vertical="center"/>
      <protection locked="0" hidden="1"/>
    </xf>
    <xf numFmtId="0" fontId="13" fillId="0" borderId="0" xfId="5" applyFont="1" applyFill="1" applyBorder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/>
      <protection hidden="1"/>
    </xf>
    <xf numFmtId="0" fontId="13" fillId="0" borderId="0" xfId="5" applyFont="1" applyBorder="1" applyAlignment="1" applyProtection="1">
      <alignment horizontal="center" vertical="center"/>
      <protection hidden="1"/>
    </xf>
    <xf numFmtId="0" fontId="6" fillId="0" borderId="0" xfId="11" applyNumberFormat="1" applyFont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horizontal="left" vertical="center"/>
      <protection hidden="1"/>
    </xf>
    <xf numFmtId="0" fontId="5" fillId="0" borderId="0" xfId="5" applyFill="1" applyBorder="1" applyAlignment="1" applyProtection="1">
      <alignment horizontal="center" vertical="center"/>
      <protection hidden="1"/>
    </xf>
    <xf numFmtId="0" fontId="5" fillId="0" borderId="0" xfId="5" applyFont="1" applyBorder="1" applyAlignment="1" applyProtection="1">
      <alignment horizontal="center" vertical="center"/>
      <protection hidden="1"/>
    </xf>
    <xf numFmtId="0" fontId="14" fillId="0" borderId="0" xfId="5" applyFont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horizontal="center" vertical="center"/>
      <protection hidden="1"/>
    </xf>
    <xf numFmtId="164" fontId="5" fillId="0" borderId="0" xfId="5" applyNumberFormat="1" applyFill="1" applyBorder="1" applyAlignment="1" applyProtection="1">
      <alignment horizontal="center" vertical="center"/>
      <protection hidden="1"/>
    </xf>
    <xf numFmtId="0" fontId="5" fillId="0" borderId="0" xfId="5" applyBorder="1" applyAlignment="1" applyProtection="1">
      <alignment vertical="center"/>
      <protection hidden="1"/>
    </xf>
    <xf numFmtId="0" fontId="6" fillId="0" borderId="0" xfId="11" applyNumberFormat="1" applyFont="1" applyFill="1" applyBorder="1" applyAlignment="1" applyProtection="1">
      <alignment horizontal="center" vertical="center"/>
      <protection hidden="1"/>
    </xf>
    <xf numFmtId="0" fontId="6" fillId="2" borderId="2" xfId="11" applyFont="1" applyFill="1" applyBorder="1" applyAlignment="1" applyProtection="1">
      <alignment horizontal="center" vertical="center"/>
      <protection hidden="1"/>
    </xf>
    <xf numFmtId="2" fontId="6" fillId="0" borderId="2" xfId="11" applyNumberFormat="1" applyFont="1" applyFill="1" applyBorder="1" applyAlignment="1" applyProtection="1">
      <alignment horizontal="center" vertical="center"/>
      <protection hidden="1"/>
    </xf>
    <xf numFmtId="0" fontId="6" fillId="0" borderId="0" xfId="11" applyFont="1" applyFill="1" applyBorder="1" applyAlignment="1" applyProtection="1">
      <alignment horizontal="center" vertical="center"/>
      <protection hidden="1"/>
    </xf>
    <xf numFmtId="167" fontId="6" fillId="0" borderId="0" xfId="11" applyNumberFormat="1" applyFont="1" applyFill="1" applyBorder="1" applyAlignment="1" applyProtection="1">
      <alignment horizontal="center" vertical="center"/>
      <protection hidden="1"/>
    </xf>
    <xf numFmtId="0" fontId="6" fillId="0" borderId="0" xfId="11" applyFont="1" applyBorder="1" applyAlignment="1" applyProtection="1">
      <alignment vertical="center"/>
      <protection hidden="1"/>
    </xf>
    <xf numFmtId="0" fontId="6" fillId="0" borderId="0" xfId="11" applyFont="1" applyBorder="1" applyAlignment="1" applyProtection="1">
      <alignment horizontal="center"/>
      <protection hidden="1"/>
    </xf>
    <xf numFmtId="0" fontId="6" fillId="0" borderId="0" xfId="11" applyProtection="1">
      <protection hidden="1"/>
    </xf>
    <xf numFmtId="0" fontId="6" fillId="0" borderId="0" xfId="11" applyAlignment="1" applyProtection="1">
      <alignment horizontal="center"/>
      <protection hidden="1"/>
    </xf>
    <xf numFmtId="0" fontId="6" fillId="2" borderId="7" xfId="11" applyFont="1" applyFill="1" applyBorder="1" applyAlignment="1" applyProtection="1">
      <alignment horizontal="center" vertical="center"/>
      <protection hidden="1"/>
    </xf>
    <xf numFmtId="164" fontId="6" fillId="2" borderId="8" xfId="11" applyNumberFormat="1" applyFont="1" applyFill="1" applyBorder="1" applyAlignment="1" applyProtection="1">
      <alignment horizontal="center" vertical="center"/>
      <protection hidden="1"/>
    </xf>
    <xf numFmtId="164" fontId="6" fillId="2" borderId="8" xfId="11" applyNumberFormat="1" applyFont="1" applyFill="1" applyBorder="1" applyAlignment="1" applyProtection="1">
      <alignment horizontal="centerContinuous" vertical="center"/>
      <protection hidden="1"/>
    </xf>
    <xf numFmtId="164" fontId="6" fillId="2" borderId="9" xfId="11" applyNumberFormat="1" applyFont="1" applyFill="1" applyBorder="1" applyAlignment="1" applyProtection="1">
      <alignment horizontal="center" vertical="center"/>
      <protection hidden="1"/>
    </xf>
    <xf numFmtId="0" fontId="6" fillId="0" borderId="0" xfId="11" applyAlignment="1" applyProtection="1">
      <alignment horizontal="center" vertical="center"/>
      <protection hidden="1"/>
    </xf>
    <xf numFmtId="0" fontId="6" fillId="0" borderId="0" xfId="11" applyAlignment="1" applyProtection="1">
      <alignment vertical="center"/>
      <protection hidden="1"/>
    </xf>
    <xf numFmtId="0" fontId="6" fillId="0" borderId="0" xfId="11" applyFont="1" applyBorder="1" applyAlignment="1" applyProtection="1">
      <alignment horizontal="center" vertical="center"/>
      <protection hidden="1"/>
    </xf>
    <xf numFmtId="164" fontId="6" fillId="0" borderId="0" xfId="11" applyNumberFormat="1" applyFont="1" applyFill="1" applyBorder="1" applyAlignment="1" applyProtection="1">
      <alignment horizontal="center" vertical="center"/>
      <protection hidden="1"/>
    </xf>
    <xf numFmtId="164" fontId="6" fillId="0" borderId="0" xfId="11" applyNumberFormat="1" applyFont="1" applyFill="1" applyBorder="1" applyAlignment="1" applyProtection="1">
      <alignment horizontal="centerContinuous" vertical="center"/>
      <protection hidden="1"/>
    </xf>
    <xf numFmtId="0" fontId="6" fillId="0" borderId="0" xfId="11" applyFont="1" applyFill="1" applyBorder="1" applyProtection="1">
      <protection hidden="1"/>
    </xf>
    <xf numFmtId="167" fontId="6" fillId="0" borderId="0" xfId="11" applyNumberFormat="1" applyFont="1" applyBorder="1" applyAlignment="1" applyProtection="1">
      <alignment vertical="center"/>
      <protection hidden="1"/>
    </xf>
    <xf numFmtId="164" fontId="6" fillId="0" borderId="10" xfId="11" applyNumberFormat="1" applyFont="1" applyFill="1" applyBorder="1" applyAlignment="1" applyProtection="1">
      <alignment horizontal="center" vertical="center"/>
      <protection hidden="1"/>
    </xf>
    <xf numFmtId="164" fontId="6" fillId="0" borderId="11" xfId="11" applyNumberFormat="1" applyFont="1" applyFill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center" vertical="center"/>
      <protection hidden="1"/>
    </xf>
    <xf numFmtId="164" fontId="6" fillId="0" borderId="7" xfId="11" applyNumberFormat="1" applyFont="1" applyFill="1" applyBorder="1" applyAlignment="1" applyProtection="1">
      <alignment horizontal="center" vertical="center"/>
      <protection hidden="1"/>
    </xf>
    <xf numFmtId="164" fontId="6" fillId="0" borderId="8" xfId="11" applyNumberFormat="1" applyFont="1" applyFill="1" applyBorder="1" applyAlignment="1" applyProtection="1">
      <alignment horizontal="center" vertical="center"/>
      <protection hidden="1"/>
    </xf>
    <xf numFmtId="0" fontId="13" fillId="0" borderId="0" xfId="11" applyFont="1" applyBorder="1" applyAlignment="1" applyProtection="1">
      <alignment horizontal="center" vertical="center"/>
      <protection hidden="1"/>
    </xf>
    <xf numFmtId="0" fontId="6" fillId="0" borderId="0" xfId="11" applyFill="1" applyBorder="1" applyAlignment="1" applyProtection="1">
      <alignment horizontal="left" vertical="center"/>
      <protection hidden="1"/>
    </xf>
    <xf numFmtId="0" fontId="6" fillId="0" borderId="0" xfId="11" applyBorder="1" applyProtection="1">
      <protection hidden="1"/>
    </xf>
    <xf numFmtId="164" fontId="6" fillId="0" borderId="0" xfId="11" applyNumberFormat="1" applyFill="1" applyBorder="1" applyAlignment="1" applyProtection="1">
      <alignment horizontal="left" vertical="center"/>
      <protection hidden="1"/>
    </xf>
    <xf numFmtId="164" fontId="6" fillId="0" borderId="0" xfId="11" applyNumberFormat="1" applyFont="1" applyFill="1" applyBorder="1" applyAlignment="1" applyProtection="1">
      <alignment horizontal="left" vertical="center"/>
      <protection hidden="1"/>
    </xf>
    <xf numFmtId="0" fontId="6" fillId="0" borderId="0" xfId="11" applyAlignment="1" applyProtection="1">
      <protection hidden="1"/>
    </xf>
    <xf numFmtId="0" fontId="6" fillId="0" borderId="11" xfId="11" applyFont="1" applyFill="1" applyBorder="1" applyAlignment="1" applyProtection="1">
      <alignment horizontal="center" vertical="center"/>
      <protection hidden="1"/>
    </xf>
    <xf numFmtId="0" fontId="6" fillId="0" borderId="0" xfId="11" applyFill="1" applyBorder="1" applyProtection="1">
      <protection hidden="1"/>
    </xf>
    <xf numFmtId="0" fontId="6" fillId="0" borderId="0" xfId="11" applyFont="1" applyFill="1" applyBorder="1" applyAlignment="1" applyProtection="1">
      <alignment vertical="center"/>
      <protection hidden="1"/>
    </xf>
    <xf numFmtId="0" fontId="19" fillId="0" borderId="0" xfId="11" applyFont="1" applyFill="1" applyBorder="1" applyAlignment="1" applyProtection="1">
      <alignment vertical="center"/>
      <protection hidden="1"/>
    </xf>
    <xf numFmtId="0" fontId="18" fillId="0" borderId="0" xfId="11" applyFont="1" applyFill="1" applyBorder="1" applyAlignment="1" applyProtection="1">
      <alignment horizontal="centerContinuous" vertical="center"/>
      <protection hidden="1"/>
    </xf>
    <xf numFmtId="0" fontId="6" fillId="0" borderId="0" xfId="11" applyFont="1" applyBorder="1" applyAlignment="1" applyProtection="1">
      <alignment horizontal="centerContinuous" vertical="center"/>
      <protection hidden="1"/>
    </xf>
    <xf numFmtId="0" fontId="6" fillId="0" borderId="0" xfId="11" applyFont="1" applyFill="1" applyBorder="1" applyAlignment="1" applyProtection="1">
      <alignment horizontal="centerContinuous" vertical="center"/>
      <protection hidden="1"/>
    </xf>
    <xf numFmtId="0" fontId="6" fillId="0" borderId="0" xfId="11" applyAlignment="1" applyProtection="1">
      <alignment horizontal="centerContinuous"/>
      <protection hidden="1"/>
    </xf>
    <xf numFmtId="0" fontId="6" fillId="0" borderId="1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0" xfId="4" applyFont="1" applyBorder="1" applyAlignment="1" applyProtection="1">
      <alignment horizontal="center" vertical="center"/>
      <protection hidden="1"/>
    </xf>
    <xf numFmtId="0" fontId="6" fillId="0" borderId="0" xfId="4" applyFont="1" applyFill="1" applyBorder="1" applyAlignment="1" applyProtection="1">
      <alignment horizontal="center" vertical="center"/>
      <protection hidden="1"/>
    </xf>
    <xf numFmtId="0" fontId="21" fillId="0" borderId="0" xfId="4" applyFont="1" applyAlignment="1" applyProtection="1">
      <alignment horizontal="center" vertical="center"/>
      <protection hidden="1"/>
    </xf>
    <xf numFmtId="0" fontId="13" fillId="0" borderId="0" xfId="4" applyFont="1" applyFill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center" vertical="center"/>
      <protection hidden="1"/>
    </xf>
    <xf numFmtId="9" fontId="5" fillId="0" borderId="0" xfId="4" applyNumberFormat="1" applyFill="1" applyBorder="1" applyAlignment="1" applyProtection="1">
      <alignment horizontal="center" vertical="center"/>
      <protection hidden="1"/>
    </xf>
    <xf numFmtId="164" fontId="5" fillId="0" borderId="0" xfId="4" applyNumberFormat="1" applyFill="1" applyBorder="1" applyAlignment="1" applyProtection="1">
      <alignment horizontal="center" vertical="center"/>
      <protection hidden="1"/>
    </xf>
    <xf numFmtId="164" fontId="6" fillId="0" borderId="0" xfId="4" applyNumberFormat="1" applyFont="1" applyFill="1" applyBorder="1" applyAlignment="1" applyProtection="1">
      <alignment horizontal="center" vertical="center"/>
      <protection hidden="1"/>
    </xf>
    <xf numFmtId="0" fontId="6" fillId="0" borderId="0" xfId="4" applyFont="1" applyFill="1" applyAlignment="1" applyProtection="1">
      <alignment horizontal="center" vertical="center"/>
      <protection hidden="1"/>
    </xf>
    <xf numFmtId="0" fontId="12" fillId="0" borderId="0" xfId="4" applyFont="1" applyFill="1" applyBorder="1" applyAlignment="1" applyProtection="1">
      <alignment horizontal="center" vertical="center"/>
      <protection hidden="1"/>
    </xf>
    <xf numFmtId="0" fontId="5" fillId="0" borderId="0" xfId="4" applyFill="1" applyBorder="1" applyAlignment="1" applyProtection="1">
      <alignment horizontal="center" vertical="center"/>
      <protection hidden="1"/>
    </xf>
    <xf numFmtId="0" fontId="5" fillId="0" borderId="0" xfId="4" applyBorder="1" applyAlignment="1" applyProtection="1">
      <alignment horizontal="center" vertical="center"/>
      <protection hidden="1"/>
    </xf>
    <xf numFmtId="2" fontId="6" fillId="0" borderId="0" xfId="4" applyNumberFormat="1" applyFont="1" applyFill="1" applyBorder="1" applyAlignment="1" applyProtection="1">
      <alignment horizontal="center" vertical="center"/>
      <protection hidden="1"/>
    </xf>
    <xf numFmtId="9" fontId="5" fillId="0" borderId="0" xfId="4" applyNumberFormat="1" applyBorder="1" applyAlignment="1" applyProtection="1">
      <alignment horizontal="center" vertical="center"/>
      <protection hidden="1"/>
    </xf>
    <xf numFmtId="0" fontId="5" fillId="0" borderId="12" xfId="4" applyBorder="1" applyAlignment="1" applyProtection="1">
      <alignment horizontal="center" vertical="center"/>
      <protection hidden="1"/>
    </xf>
    <xf numFmtId="0" fontId="5" fillId="0" borderId="12" xfId="4" applyFill="1" applyBorder="1" applyAlignment="1" applyProtection="1">
      <alignment horizontal="center" vertical="center"/>
      <protection hidden="1"/>
    </xf>
    <xf numFmtId="0" fontId="5" fillId="0" borderId="0" xfId="4" applyFill="1" applyAlignment="1" applyProtection="1">
      <alignment horizontal="center" vertical="center"/>
      <protection hidden="1"/>
    </xf>
    <xf numFmtId="0" fontId="23" fillId="0" borderId="0" xfId="4" applyFont="1" applyFill="1" applyBorder="1" applyAlignment="1" applyProtection="1">
      <alignment horizontal="center" vertical="center"/>
      <protection hidden="1"/>
    </xf>
    <xf numFmtId="0" fontId="6" fillId="3" borderId="0" xfId="11" applyFont="1" applyFill="1" applyBorder="1" applyAlignment="1" applyProtection="1">
      <alignment horizontal="center" vertical="center"/>
      <protection hidden="1"/>
    </xf>
    <xf numFmtId="0" fontId="22" fillId="0" borderId="4" xfId="5" applyFont="1" applyBorder="1" applyAlignment="1" applyProtection="1">
      <alignment horizontal="center" vertical="center"/>
      <protection locked="0" hidden="1"/>
    </xf>
    <xf numFmtId="0" fontId="5" fillId="0" borderId="4" xfId="5" applyFont="1" applyBorder="1" applyAlignment="1" applyProtection="1">
      <alignment horizontal="center" vertical="center"/>
      <protection hidden="1"/>
    </xf>
    <xf numFmtId="164" fontId="5" fillId="4" borderId="4" xfId="5" applyNumberFormat="1" applyFill="1" applyBorder="1" applyAlignment="1" applyProtection="1">
      <alignment horizontal="center" vertical="center"/>
      <protection hidden="1"/>
    </xf>
    <xf numFmtId="164" fontId="6" fillId="2" borderId="8" xfId="11" quotePrefix="1" applyNumberFormat="1" applyFont="1" applyFill="1" applyBorder="1" applyAlignment="1" applyProtection="1">
      <alignment horizontal="center" vertical="center"/>
      <protection hidden="1"/>
    </xf>
    <xf numFmtId="164" fontId="6" fillId="0" borderId="0" xfId="11" applyNumberFormat="1" applyFont="1" applyBorder="1" applyAlignment="1" applyProtection="1">
      <alignment horizontal="center" vertical="center"/>
      <protection hidden="1"/>
    </xf>
    <xf numFmtId="0" fontId="12" fillId="0" borderId="13" xfId="11" applyFont="1" applyFill="1" applyBorder="1" applyAlignment="1" applyProtection="1">
      <alignment horizontal="center" vertical="center"/>
      <protection hidden="1"/>
    </xf>
    <xf numFmtId="0" fontId="6" fillId="0" borderId="10" xfId="11" applyFill="1" applyBorder="1" applyAlignment="1" applyProtection="1">
      <alignment horizontal="center" vertical="center"/>
      <protection hidden="1"/>
    </xf>
    <xf numFmtId="0" fontId="6" fillId="0" borderId="10" xfId="11" applyFont="1" applyFill="1" applyBorder="1" applyAlignment="1" applyProtection="1">
      <alignment horizontal="center" vertical="center"/>
      <protection hidden="1"/>
    </xf>
    <xf numFmtId="0" fontId="6" fillId="0" borderId="13" xfId="11" applyFill="1" applyBorder="1" applyAlignment="1" applyProtection="1">
      <alignment horizontal="center" vertical="center"/>
      <protection hidden="1"/>
    </xf>
    <xf numFmtId="0" fontId="6" fillId="0" borderId="13" xfId="11" applyFont="1" applyFill="1" applyBorder="1" applyAlignment="1" applyProtection="1">
      <alignment horizontal="center" vertical="center"/>
      <protection hidden="1"/>
    </xf>
    <xf numFmtId="164" fontId="6" fillId="2" borderId="9" xfId="11" applyNumberFormat="1" applyFill="1" applyBorder="1" applyAlignment="1" applyProtection="1">
      <alignment horizontal="center" vertical="center"/>
      <protection hidden="1"/>
    </xf>
    <xf numFmtId="165" fontId="6" fillId="0" borderId="0" xfId="11" applyNumberFormat="1" applyFont="1" applyFill="1" applyBorder="1" applyAlignment="1" applyProtection="1">
      <alignment horizontal="right" vertical="center"/>
      <protection hidden="1"/>
    </xf>
    <xf numFmtId="0" fontId="13" fillId="0" borderId="0" xfId="11" applyNumberFormat="1" applyFont="1" applyFill="1" applyBorder="1" applyAlignment="1" applyProtection="1">
      <alignment horizontal="left" vertical="center"/>
      <protection hidden="1"/>
    </xf>
    <xf numFmtId="0" fontId="6" fillId="0" borderId="0" xfId="11" applyBorder="1" applyAlignment="1" applyProtection="1">
      <alignment horizontal="right" vertical="center"/>
      <protection hidden="1"/>
    </xf>
    <xf numFmtId="0" fontId="13" fillId="0" borderId="0" xfId="11" applyFont="1" applyBorder="1" applyAlignment="1" applyProtection="1">
      <alignment horizontal="left" vertical="center"/>
      <protection hidden="1"/>
    </xf>
    <xf numFmtId="164" fontId="6" fillId="0" borderId="0" xfId="11" applyNumberFormat="1" applyFont="1" applyBorder="1" applyAlignment="1" applyProtection="1">
      <alignment horizontal="left" vertical="center"/>
      <protection hidden="1"/>
    </xf>
    <xf numFmtId="0" fontId="6" fillId="0" borderId="0" xfId="11" applyFont="1" applyBorder="1" applyAlignment="1" applyProtection="1">
      <alignment horizontal="left" vertical="center"/>
      <protection hidden="1"/>
    </xf>
    <xf numFmtId="0" fontId="6" fillId="0" borderId="0" xfId="11" applyNumberFormat="1" applyFont="1" applyBorder="1" applyAlignment="1" applyProtection="1">
      <alignment horizontal="left" vertical="center"/>
    </xf>
    <xf numFmtId="0" fontId="20" fillId="0" borderId="0" xfId="4" applyFont="1" applyAlignment="1" applyProtection="1">
      <alignment horizontal="center" vertical="center"/>
      <protection hidden="1"/>
    </xf>
    <xf numFmtId="0" fontId="6" fillId="0" borderId="12" xfId="4" applyFont="1" applyFill="1" applyBorder="1" applyAlignment="1" applyProtection="1">
      <alignment horizontal="center" vertical="center"/>
      <protection hidden="1"/>
    </xf>
    <xf numFmtId="0" fontId="13" fillId="0" borderId="12" xfId="4" applyFont="1" applyFill="1" applyBorder="1" applyAlignment="1" applyProtection="1">
      <alignment horizontal="center" vertical="center"/>
      <protection hidden="1"/>
    </xf>
    <xf numFmtId="0" fontId="19" fillId="0" borderId="0" xfId="4" applyFont="1" applyBorder="1" applyAlignment="1" applyProtection="1">
      <alignment horizontal="center" vertical="center"/>
      <protection hidden="1"/>
    </xf>
    <xf numFmtId="0" fontId="13" fillId="0" borderId="0" xfId="4" applyFont="1" applyBorder="1" applyAlignment="1" applyProtection="1">
      <alignment horizontal="center" vertical="center"/>
      <protection hidden="1"/>
    </xf>
    <xf numFmtId="0" fontId="5" fillId="0" borderId="0" xfId="4" applyFont="1" applyFill="1" applyBorder="1" applyAlignment="1" applyProtection="1">
      <alignment horizontal="center" vertical="center"/>
      <protection hidden="1"/>
    </xf>
    <xf numFmtId="0" fontId="19" fillId="0" borderId="0" xfId="4" applyFont="1" applyAlignment="1" applyProtection="1">
      <alignment horizontal="center" vertical="center"/>
      <protection hidden="1"/>
    </xf>
    <xf numFmtId="0" fontId="5" fillId="0" borderId="12" xfId="5" applyFont="1" applyBorder="1" applyAlignment="1" applyProtection="1">
      <alignment horizontal="center"/>
      <protection hidden="1"/>
    </xf>
    <xf numFmtId="0" fontId="6" fillId="0" borderId="14" xfId="11" applyFont="1" applyBorder="1" applyAlignment="1" applyProtection="1">
      <alignment horizontal="center" vertical="top"/>
      <protection hidden="1"/>
    </xf>
    <xf numFmtId="0" fontId="6" fillId="0" borderId="15" xfId="11" applyFont="1" applyBorder="1" applyAlignment="1" applyProtection="1">
      <alignment horizontal="center" vertical="top"/>
      <protection hidden="1"/>
    </xf>
    <xf numFmtId="0" fontId="6" fillId="0" borderId="16" xfId="11" applyFont="1" applyFill="1" applyBorder="1" applyAlignment="1" applyProtection="1">
      <alignment horizontal="center" vertical="top"/>
      <protection hidden="1"/>
    </xf>
    <xf numFmtId="0" fontId="6" fillId="0" borderId="0" xfId="11" applyFill="1" applyAlignment="1" applyProtection="1">
      <alignment vertical="center"/>
      <protection hidden="1"/>
    </xf>
    <xf numFmtId="0" fontId="5" fillId="2" borderId="4" xfId="5" applyNumberFormat="1" applyFill="1" applyBorder="1" applyAlignment="1" applyProtection="1">
      <alignment horizontal="center" vertical="center"/>
      <protection hidden="1"/>
    </xf>
    <xf numFmtId="0" fontId="6" fillId="0" borderId="4" xfId="11" applyFill="1" applyBorder="1" applyAlignment="1" applyProtection="1">
      <alignment horizontal="center" vertical="center"/>
      <protection hidden="1"/>
    </xf>
    <xf numFmtId="164" fontId="6" fillId="0" borderId="4" xfId="11" applyNumberFormat="1" applyFont="1" applyFill="1" applyBorder="1" applyAlignment="1" applyProtection="1">
      <alignment horizontal="center" vertical="center"/>
      <protection hidden="1"/>
    </xf>
    <xf numFmtId="164" fontId="6" fillId="2" borderId="4" xfId="11" applyNumberFormat="1" applyFont="1" applyFill="1" applyBorder="1" applyAlignment="1" applyProtection="1">
      <alignment horizontal="center" vertical="center"/>
      <protection hidden="1"/>
    </xf>
    <xf numFmtId="164" fontId="6" fillId="2" borderId="4" xfId="11" applyNumberFormat="1" applyFont="1" applyFill="1" applyBorder="1" applyAlignment="1" applyProtection="1">
      <alignment horizontal="centerContinuous" vertical="center"/>
      <protection hidden="1"/>
    </xf>
    <xf numFmtId="0" fontId="6" fillId="0" borderId="4" xfId="11" applyFont="1" applyFill="1" applyBorder="1" applyAlignment="1" applyProtection="1">
      <alignment horizontal="center" vertical="center"/>
      <protection hidden="1"/>
    </xf>
    <xf numFmtId="0" fontId="6" fillId="2" borderId="5" xfId="11" applyFont="1" applyFill="1" applyBorder="1" applyAlignment="1" applyProtection="1">
      <alignment horizontal="center" vertical="center"/>
      <protection hidden="1"/>
    </xf>
    <xf numFmtId="164" fontId="6" fillId="2" borderId="6" xfId="11" applyNumberFormat="1" applyFont="1" applyFill="1" applyBorder="1" applyAlignment="1" applyProtection="1">
      <alignment horizontal="center" vertical="center"/>
      <protection hidden="1"/>
    </xf>
    <xf numFmtId="0" fontId="12" fillId="0" borderId="5" xfId="11" applyFont="1" applyFill="1" applyBorder="1" applyAlignment="1" applyProtection="1">
      <alignment horizontal="center" vertical="center"/>
      <protection hidden="1"/>
    </xf>
    <xf numFmtId="0" fontId="6" fillId="0" borderId="13" xfId="11" applyFont="1" applyBorder="1" applyAlignment="1" applyProtection="1">
      <alignment horizontal="center" vertical="center"/>
      <protection hidden="1"/>
    </xf>
    <xf numFmtId="0" fontId="6" fillId="0" borderId="10" xfId="11" applyFont="1" applyBorder="1" applyAlignment="1" applyProtection="1">
      <alignment horizontal="center" vertical="center"/>
      <protection hidden="1"/>
    </xf>
    <xf numFmtId="164" fontId="6" fillId="0" borderId="7" xfId="11" applyNumberFormat="1" applyFont="1" applyBorder="1" applyAlignment="1" applyProtection="1">
      <alignment horizontal="center" vertical="center"/>
      <protection hidden="1"/>
    </xf>
    <xf numFmtId="164" fontId="6" fillId="0" borderId="8" xfId="11" applyNumberFormat="1" applyFont="1" applyBorder="1" applyAlignment="1" applyProtection="1">
      <alignment horizontal="center" vertical="center"/>
      <protection hidden="1"/>
    </xf>
    <xf numFmtId="0" fontId="9" fillId="0" borderId="10" xfId="11" applyFont="1" applyFill="1" applyBorder="1" applyAlignment="1" applyProtection="1">
      <alignment horizontal="center" vertical="center"/>
      <protection hidden="1"/>
    </xf>
    <xf numFmtId="0" fontId="6" fillId="0" borderId="13" xfId="4" applyFont="1" applyBorder="1" applyAlignment="1" applyProtection="1">
      <alignment horizontal="center" vertical="center"/>
      <protection hidden="1"/>
    </xf>
    <xf numFmtId="0" fontId="6" fillId="0" borderId="10" xfId="4" applyFont="1" applyBorder="1" applyAlignment="1" applyProtection="1">
      <alignment horizontal="center" vertical="center"/>
      <protection hidden="1"/>
    </xf>
    <xf numFmtId="0" fontId="5" fillId="0" borderId="13" xfId="4" applyBorder="1" applyAlignment="1" applyProtection="1">
      <alignment horizontal="center" vertical="center"/>
      <protection hidden="1"/>
    </xf>
    <xf numFmtId="0" fontId="5" fillId="0" borderId="10" xfId="4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164" fontId="5" fillId="2" borderId="7" xfId="4" applyNumberFormat="1" applyFill="1" applyBorder="1" applyAlignment="1" applyProtection="1">
      <alignment horizontal="center" vertical="center"/>
      <protection hidden="1"/>
    </xf>
    <xf numFmtId="164" fontId="5" fillId="2" borderId="8" xfId="4" applyNumberFormat="1" applyFill="1" applyBorder="1" applyAlignment="1" applyProtection="1">
      <alignment horizontal="center" vertical="center"/>
      <protection hidden="1"/>
    </xf>
    <xf numFmtId="164" fontId="5" fillId="2" borderId="9" xfId="4" applyNumberFormat="1" applyFill="1" applyBorder="1" applyAlignment="1" applyProtection="1">
      <alignment horizontal="center" vertical="center"/>
      <protection hidden="1"/>
    </xf>
    <xf numFmtId="0" fontId="5" fillId="0" borderId="11" xfId="4" applyBorder="1" applyAlignment="1" applyProtection="1">
      <alignment horizontal="center" vertical="center"/>
      <protection hidden="1"/>
    </xf>
    <xf numFmtId="9" fontId="5" fillId="0" borderId="8" xfId="4" applyNumberFormat="1" applyBorder="1" applyAlignment="1" applyProtection="1">
      <alignment horizontal="center" vertical="center"/>
      <protection hidden="1"/>
    </xf>
    <xf numFmtId="1" fontId="5" fillId="2" borderId="9" xfId="4" applyNumberFormat="1" applyFill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horizontal="center" vertical="center"/>
      <protection hidden="1"/>
    </xf>
    <xf numFmtId="0" fontId="5" fillId="0" borderId="18" xfId="4" applyBorder="1" applyAlignment="1" applyProtection="1">
      <alignment horizontal="center" vertical="center"/>
      <protection hidden="1"/>
    </xf>
    <xf numFmtId="9" fontId="5" fillId="0" borderId="19" xfId="4" applyNumberFormat="1" applyBorder="1" applyAlignment="1" applyProtection="1">
      <alignment horizontal="center" vertical="center"/>
      <protection hidden="1"/>
    </xf>
    <xf numFmtId="0" fontId="6" fillId="0" borderId="0" xfId="4" applyNumberFormat="1" applyFont="1" applyFill="1" applyBorder="1" applyAlignment="1" applyProtection="1">
      <alignment horizontal="center" vertical="center"/>
      <protection hidden="1"/>
    </xf>
    <xf numFmtId="2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0" fontId="9" fillId="0" borderId="10" xfId="4" applyFont="1" applyBorder="1" applyAlignment="1" applyProtection="1">
      <alignment horizontal="center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9" fontId="5" fillId="0" borderId="7" xfId="4" applyNumberFormat="1" applyBorder="1" applyAlignment="1" applyProtection="1">
      <alignment horizontal="center" vertical="center"/>
      <protection hidden="1"/>
    </xf>
    <xf numFmtId="164" fontId="5" fillId="0" borderId="20" xfId="4" applyNumberFormat="1" applyFill="1" applyBorder="1" applyAlignment="1" applyProtection="1">
      <alignment horizontal="center" vertical="center"/>
      <protection hidden="1"/>
    </xf>
    <xf numFmtId="164" fontId="5" fillId="2" borderId="21" xfId="4" applyNumberFormat="1" applyFill="1" applyBorder="1" applyAlignment="1" applyProtection="1">
      <alignment horizontal="center" vertical="center"/>
      <protection hidden="1"/>
    </xf>
    <xf numFmtId="164" fontId="5" fillId="0" borderId="22" xfId="4" applyNumberFormat="1" applyFill="1" applyBorder="1" applyAlignment="1" applyProtection="1">
      <alignment horizontal="center" vertical="center"/>
      <protection hidden="1"/>
    </xf>
    <xf numFmtId="0" fontId="9" fillId="0" borderId="13" xfId="4" applyFont="1" applyBorder="1" applyAlignment="1" applyProtection="1">
      <alignment horizontal="center" vertical="center"/>
      <protection hidden="1"/>
    </xf>
    <xf numFmtId="0" fontId="9" fillId="0" borderId="10" xfId="4" applyFont="1" applyFill="1" applyBorder="1" applyAlignment="1" applyProtection="1">
      <alignment horizontal="center" vertical="center"/>
      <protection hidden="1"/>
    </xf>
    <xf numFmtId="0" fontId="9" fillId="0" borderId="11" xfId="4" applyFont="1" applyFill="1" applyBorder="1" applyAlignment="1" applyProtection="1">
      <alignment horizontal="center" vertical="center"/>
      <protection hidden="1"/>
    </xf>
    <xf numFmtId="0" fontId="5" fillId="4" borderId="7" xfId="4" applyFill="1" applyBorder="1" applyAlignment="1" applyProtection="1">
      <alignment horizontal="center" vertical="center"/>
      <protection hidden="1"/>
    </xf>
    <xf numFmtId="164" fontId="6" fillId="4" borderId="8" xfId="4" applyNumberFormat="1" applyFont="1" applyFill="1" applyBorder="1" applyAlignment="1" applyProtection="1">
      <alignment horizontal="center" vertical="center"/>
      <protection hidden="1"/>
    </xf>
    <xf numFmtId="164" fontId="6" fillId="4" borderId="9" xfId="4" applyNumberFormat="1" applyFont="1" applyFill="1" applyBorder="1" applyAlignment="1" applyProtection="1">
      <alignment horizontal="center" vertical="center"/>
      <protection hidden="1"/>
    </xf>
    <xf numFmtId="0" fontId="9" fillId="0" borderId="13" xfId="4" applyFont="1" applyFill="1" applyBorder="1" applyAlignment="1" applyProtection="1">
      <alignment horizontal="center" vertical="center"/>
      <protection hidden="1"/>
    </xf>
    <xf numFmtId="164" fontId="6" fillId="4" borderId="7" xfId="4" applyNumberFormat="1" applyFont="1" applyFill="1" applyBorder="1" applyAlignment="1" applyProtection="1">
      <alignment horizontal="center" vertical="center"/>
      <protection hidden="1"/>
    </xf>
    <xf numFmtId="0" fontId="5" fillId="0" borderId="10" xfId="4" applyFont="1" applyBorder="1" applyAlignment="1" applyProtection="1">
      <alignment horizontal="center" vertical="center"/>
      <protection hidden="1"/>
    </xf>
    <xf numFmtId="0" fontId="9" fillId="0" borderId="1" xfId="4" applyFont="1" applyFill="1" applyBorder="1" applyAlignment="1" applyProtection="1">
      <alignment horizontal="right" vertical="center"/>
      <protection hidden="1"/>
    </xf>
    <xf numFmtId="164" fontId="5" fillId="2" borderId="23" xfId="4" applyNumberFormat="1" applyFill="1" applyBorder="1" applyAlignment="1" applyProtection="1">
      <alignment horizontal="left" vertical="center"/>
      <protection hidden="1"/>
    </xf>
    <xf numFmtId="0" fontId="6" fillId="0" borderId="0" xfId="4" applyFont="1" applyAlignment="1" applyProtection="1">
      <alignment horizontal="left" vertical="center"/>
      <protection hidden="1"/>
    </xf>
    <xf numFmtId="2" fontId="6" fillId="4" borderId="8" xfId="4" applyNumberFormat="1" applyFont="1" applyFill="1" applyBorder="1" applyAlignment="1" applyProtection="1">
      <alignment horizontal="center" vertical="center"/>
      <protection hidden="1"/>
    </xf>
    <xf numFmtId="2" fontId="6" fillId="4" borderId="9" xfId="4" applyNumberFormat="1" applyFont="1" applyFill="1" applyBorder="1" applyAlignment="1" applyProtection="1">
      <alignment horizontal="center" vertical="center"/>
      <protection hidden="1"/>
    </xf>
    <xf numFmtId="0" fontId="5" fillId="0" borderId="24" xfId="4" applyFill="1" applyBorder="1" applyAlignment="1" applyProtection="1">
      <alignment horizontal="center" vertical="center"/>
      <protection hidden="1"/>
    </xf>
    <xf numFmtId="0" fontId="36" fillId="0" borderId="25" xfId="4" applyFont="1" applyBorder="1" applyAlignment="1" applyProtection="1">
      <alignment horizontal="center" vertical="center"/>
      <protection hidden="1"/>
    </xf>
    <xf numFmtId="2" fontId="22" fillId="0" borderId="26" xfId="4" applyNumberFormat="1" applyFont="1" applyBorder="1" applyAlignment="1" applyProtection="1">
      <alignment horizontal="center" vertical="center"/>
      <protection locked="0" hidden="1"/>
    </xf>
    <xf numFmtId="0" fontId="36" fillId="0" borderId="27" xfId="4" applyFont="1" applyBorder="1" applyAlignment="1" applyProtection="1">
      <alignment horizontal="center" vertical="center"/>
      <protection hidden="1"/>
    </xf>
    <xf numFmtId="0" fontId="25" fillId="0" borderId="13" xfId="4" applyFont="1" applyBorder="1" applyAlignment="1" applyProtection="1">
      <alignment horizontal="center" vertical="center"/>
      <protection hidden="1"/>
    </xf>
    <xf numFmtId="0" fontId="6" fillId="0" borderId="0" xfId="4" applyFont="1" applyFill="1" applyBorder="1" applyAlignment="1" applyProtection="1">
      <alignment horizontal="left" vertical="center"/>
      <protection hidden="1"/>
    </xf>
    <xf numFmtId="0" fontId="5" fillId="2" borderId="1" xfId="4" applyFill="1" applyBorder="1" applyAlignment="1" applyProtection="1">
      <alignment horizontal="right" vertical="center"/>
      <protection hidden="1"/>
    </xf>
    <xf numFmtId="0" fontId="35" fillId="0" borderId="13" xfId="4" applyFont="1" applyFill="1" applyBorder="1" applyAlignment="1" applyProtection="1">
      <alignment horizontal="center" vertical="center"/>
      <protection hidden="1"/>
    </xf>
    <xf numFmtId="0" fontId="35" fillId="0" borderId="10" xfId="4" applyFont="1" applyFill="1" applyBorder="1" applyAlignment="1" applyProtection="1">
      <alignment horizontal="center" vertical="center"/>
      <protection hidden="1"/>
    </xf>
    <xf numFmtId="0" fontId="35" fillId="0" borderId="11" xfId="4" applyFont="1" applyFill="1" applyBorder="1" applyAlignment="1" applyProtection="1">
      <alignment horizontal="center" vertical="center"/>
      <protection hidden="1"/>
    </xf>
    <xf numFmtId="0" fontId="25" fillId="0" borderId="11" xfId="4" applyFont="1" applyBorder="1" applyAlignment="1" applyProtection="1">
      <alignment horizontal="center" vertical="center"/>
      <protection hidden="1"/>
    </xf>
    <xf numFmtId="0" fontId="5" fillId="4" borderId="28" xfId="4" applyFill="1" applyBorder="1" applyAlignment="1" applyProtection="1">
      <alignment horizontal="center" vertical="center"/>
      <protection hidden="1"/>
    </xf>
    <xf numFmtId="0" fontId="5" fillId="4" borderId="29" xfId="4" applyFill="1" applyBorder="1" applyAlignment="1" applyProtection="1">
      <alignment horizontal="center" vertical="center"/>
      <protection hidden="1"/>
    </xf>
    <xf numFmtId="0" fontId="18" fillId="0" borderId="0" xfId="4" applyFont="1" applyFill="1" applyBorder="1" applyAlignment="1" applyProtection="1">
      <alignment horizontal="left" vertical="center"/>
      <protection hidden="1"/>
    </xf>
    <xf numFmtId="164" fontId="6" fillId="0" borderId="0" xfId="4" applyNumberFormat="1" applyFont="1" applyBorder="1" applyAlignment="1" applyProtection="1">
      <alignment horizontal="center" vertical="center"/>
      <protection hidden="1"/>
    </xf>
    <xf numFmtId="2" fontId="22" fillId="0" borderId="0" xfId="4" applyNumberFormat="1" applyFont="1" applyBorder="1" applyAlignment="1" applyProtection="1">
      <alignment horizontal="center" vertical="center"/>
      <protection locked="0" hidden="1"/>
    </xf>
    <xf numFmtId="0" fontId="5" fillId="0" borderId="0" xfId="4" applyNumberFormat="1" applyFont="1" applyBorder="1" applyAlignment="1" applyProtection="1">
      <alignment horizontal="center" vertical="center"/>
      <protection hidden="1"/>
    </xf>
    <xf numFmtId="164" fontId="5" fillId="0" borderId="0" xfId="4" applyNumberFormat="1" applyFont="1" applyBorder="1" applyAlignment="1" applyProtection="1">
      <alignment horizontal="center" vertical="center"/>
      <protection hidden="1"/>
    </xf>
    <xf numFmtId="0" fontId="6" fillId="0" borderId="12" xfId="4" applyFont="1" applyFill="1" applyBorder="1" applyAlignment="1" applyProtection="1">
      <alignment horizontal="left" vertical="center"/>
      <protection hidden="1"/>
    </xf>
    <xf numFmtId="0" fontId="5" fillId="0" borderId="30" xfId="4" applyFont="1" applyBorder="1" applyAlignment="1" applyProtection="1">
      <alignment horizontal="center" vertical="center"/>
      <protection hidden="1"/>
    </xf>
    <xf numFmtId="9" fontId="22" fillId="0" borderId="0" xfId="4" applyNumberFormat="1" applyFont="1" applyFill="1" applyBorder="1" applyAlignment="1" applyProtection="1">
      <alignment horizontal="left" vertical="center"/>
      <protection hidden="1"/>
    </xf>
    <xf numFmtId="0" fontId="6" fillId="4" borderId="7" xfId="4" applyNumberFormat="1" applyFont="1" applyFill="1" applyBorder="1" applyAlignment="1" applyProtection="1">
      <alignment horizontal="center" vertical="center"/>
      <protection hidden="1"/>
    </xf>
    <xf numFmtId="0" fontId="36" fillId="0" borderId="27" xfId="4" applyFont="1" applyFill="1" applyBorder="1" applyAlignment="1" applyProtection="1">
      <alignment horizontal="center" vertical="center"/>
      <protection hidden="1"/>
    </xf>
    <xf numFmtId="2" fontId="22" fillId="0" borderId="26" xfId="4" applyNumberFormat="1" applyFont="1" applyFill="1" applyBorder="1" applyAlignment="1" applyProtection="1">
      <alignment horizontal="center" vertical="center"/>
      <protection locked="0" hidden="1"/>
    </xf>
    <xf numFmtId="0" fontId="5" fillId="0" borderId="11" xfId="4" applyFont="1" applyBorder="1" applyAlignment="1" applyProtection="1">
      <alignment horizontal="center" vertical="top"/>
      <protection hidden="1"/>
    </xf>
    <xf numFmtId="0" fontId="5" fillId="0" borderId="13" xfId="4" applyFont="1" applyFill="1" applyBorder="1" applyAlignment="1" applyProtection="1">
      <alignment horizontal="center" vertical="center"/>
      <protection hidden="1"/>
    </xf>
    <xf numFmtId="164" fontId="6" fillId="4" borderId="8" xfId="11" applyNumberFormat="1" applyFill="1" applyBorder="1" applyAlignment="1" applyProtection="1">
      <alignment horizontal="center" vertical="center"/>
      <protection hidden="1"/>
    </xf>
    <xf numFmtId="0" fontId="6" fillId="4" borderId="7" xfId="4" applyFont="1" applyFill="1" applyBorder="1" applyAlignment="1" applyProtection="1">
      <alignment horizontal="center" vertical="center"/>
      <protection hidden="1"/>
    </xf>
    <xf numFmtId="0" fontId="5" fillId="4" borderId="7" xfId="4" applyNumberFormat="1" applyFont="1" applyFill="1" applyBorder="1" applyAlignment="1" applyProtection="1">
      <alignment horizontal="center" vertical="center"/>
      <protection hidden="1"/>
    </xf>
    <xf numFmtId="164" fontId="5" fillId="4" borderId="8" xfId="4" applyNumberFormat="1" applyFont="1" applyFill="1" applyBorder="1" applyAlignment="1" applyProtection="1">
      <alignment horizontal="center" vertical="center"/>
      <protection hidden="1"/>
    </xf>
    <xf numFmtId="164" fontId="5" fillId="4" borderId="9" xfId="4" applyNumberFormat="1" applyFont="1" applyFill="1" applyBorder="1" applyAlignment="1" applyProtection="1">
      <alignment horizontal="center" vertical="center"/>
      <protection hidden="1"/>
    </xf>
    <xf numFmtId="0" fontId="5" fillId="4" borderId="7" xfId="4" applyNumberFormat="1" applyFill="1" applyBorder="1" applyAlignment="1" applyProtection="1">
      <alignment horizontal="center" vertical="center"/>
      <protection hidden="1"/>
    </xf>
    <xf numFmtId="0" fontId="9" fillId="0" borderId="4" xfId="6" applyFont="1" applyFill="1" applyBorder="1" applyAlignment="1" applyProtection="1">
      <alignment horizontal="center" vertical="top"/>
      <protection hidden="1"/>
    </xf>
    <xf numFmtId="0" fontId="28" fillId="0" borderId="0" xfId="6" applyFont="1" applyFill="1" applyBorder="1" applyAlignment="1" applyProtection="1">
      <alignment horizontal="left" vertical="center"/>
      <protection hidden="1"/>
    </xf>
    <xf numFmtId="0" fontId="9" fillId="0" borderId="0" xfId="6" applyFont="1" applyFill="1" applyAlignment="1" applyProtection="1">
      <alignment horizontal="center" vertical="center"/>
      <protection hidden="1"/>
    </xf>
    <xf numFmtId="0" fontId="31" fillId="0" borderId="0" xfId="6" applyFont="1" applyFill="1" applyAlignment="1" applyProtection="1">
      <alignment horizontal="center" vertical="center"/>
      <protection hidden="1"/>
    </xf>
    <xf numFmtId="0" fontId="31" fillId="0" borderId="0" xfId="6" applyFont="1" applyAlignment="1" applyProtection="1">
      <alignment horizontal="center" vertical="center"/>
      <protection hidden="1"/>
    </xf>
    <xf numFmtId="0" fontId="30" fillId="0" borderId="0" xfId="6" applyFont="1" applyFill="1" applyAlignment="1" applyProtection="1">
      <alignment horizontal="center" vertical="center"/>
      <protection hidden="1"/>
    </xf>
    <xf numFmtId="0" fontId="9" fillId="0" borderId="4" xfId="6" applyFont="1" applyFill="1" applyBorder="1" applyAlignment="1" applyProtection="1">
      <alignment horizontal="center" vertical="center"/>
      <protection hidden="1"/>
    </xf>
    <xf numFmtId="0" fontId="33" fillId="0" borderId="4" xfId="6" applyFont="1" applyFill="1" applyBorder="1" applyAlignment="1" applyProtection="1">
      <alignment horizontal="center" vertical="center"/>
      <protection locked="0" hidden="1"/>
    </xf>
    <xf numFmtId="164" fontId="28" fillId="2" borderId="4" xfId="6" applyNumberFormat="1" applyFont="1" applyFill="1" applyBorder="1" applyAlignment="1" applyProtection="1">
      <alignment horizontal="center" vertical="center"/>
      <protection hidden="1"/>
    </xf>
    <xf numFmtId="0" fontId="40" fillId="0" borderId="0" xfId="6" applyFont="1" applyFill="1" applyBorder="1" applyAlignment="1" applyProtection="1">
      <alignment horizontal="left" vertical="center"/>
      <protection hidden="1"/>
    </xf>
    <xf numFmtId="166" fontId="28" fillId="2" borderId="4" xfId="6" applyNumberFormat="1" applyFont="1" applyFill="1" applyBorder="1" applyAlignment="1" applyProtection="1">
      <alignment horizontal="center" vertical="center"/>
      <protection hidden="1"/>
    </xf>
    <xf numFmtId="0" fontId="9" fillId="0" borderId="0" xfId="6" applyFont="1" applyFill="1" applyBorder="1" applyAlignment="1" applyProtection="1">
      <alignment horizontal="center" vertical="center"/>
      <protection hidden="1"/>
    </xf>
    <xf numFmtId="164" fontId="28" fillId="0" borderId="0" xfId="6" applyNumberFormat="1" applyFont="1" applyFill="1" applyBorder="1" applyAlignment="1" applyProtection="1">
      <alignment horizontal="center" vertical="center"/>
      <protection hidden="1"/>
    </xf>
    <xf numFmtId="0" fontId="6" fillId="0" borderId="11" xfId="4" applyFont="1" applyFill="1" applyBorder="1" applyAlignment="1" applyProtection="1">
      <alignment horizontal="center" vertical="center"/>
      <protection hidden="1"/>
    </xf>
    <xf numFmtId="0" fontId="6" fillId="0" borderId="0" xfId="11" applyNumberFormat="1" applyFont="1" applyFill="1" applyBorder="1" applyAlignment="1" applyProtection="1">
      <alignment horizontal="left" vertical="center"/>
    </xf>
    <xf numFmtId="164" fontId="5" fillId="4" borderId="7" xfId="4" applyNumberFormat="1" applyFill="1" applyBorder="1" applyAlignment="1" applyProtection="1">
      <alignment horizontal="center" vertical="center"/>
      <protection hidden="1"/>
    </xf>
    <xf numFmtId="164" fontId="5" fillId="4" borderId="9" xfId="4" applyNumberFormat="1" applyFill="1" applyBorder="1" applyAlignment="1" applyProtection="1">
      <alignment horizontal="center" vertical="center"/>
      <protection hidden="1"/>
    </xf>
    <xf numFmtId="0" fontId="22" fillId="0" borderId="0" xfId="11" applyFont="1" applyFill="1" applyBorder="1" applyAlignment="1" applyProtection="1">
      <alignment horizontal="left"/>
      <protection locked="0" hidden="1"/>
    </xf>
    <xf numFmtId="166" fontId="17" fillId="0" borderId="0" xfId="11" applyNumberFormat="1" applyFont="1" applyFill="1" applyBorder="1" applyAlignment="1" applyProtection="1">
      <alignment horizontal="center"/>
      <protection hidden="1"/>
    </xf>
    <xf numFmtId="0" fontId="6" fillId="0" borderId="0" xfId="11" applyFont="1" applyFill="1" applyBorder="1" applyAlignment="1" applyProtection="1">
      <protection hidden="1"/>
    </xf>
    <xf numFmtId="0" fontId="6" fillId="0" borderId="0" xfId="11" applyFont="1" applyBorder="1" applyAlignment="1" applyProtection="1">
      <alignment vertical="top"/>
      <protection hidden="1"/>
    </xf>
    <xf numFmtId="0" fontId="22" fillId="0" borderId="0" xfId="11" applyFont="1" applyBorder="1" applyAlignment="1" applyProtection="1">
      <alignment horizontal="left"/>
      <protection hidden="1"/>
    </xf>
    <xf numFmtId="0" fontId="5" fillId="0" borderId="0" xfId="4" applyFont="1" applyBorder="1" applyAlignment="1" applyProtection="1">
      <alignment horizontal="left" vertical="center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5" fillId="0" borderId="0" xfId="4" applyFont="1" applyFill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left" vertical="center"/>
    </xf>
    <xf numFmtId="0" fontId="9" fillId="0" borderId="24" xfId="0" applyFont="1" applyBorder="1" applyAlignment="1" applyProtection="1">
      <alignment horizontal="left" vertical="center"/>
    </xf>
    <xf numFmtId="0" fontId="9" fillId="0" borderId="31" xfId="0" applyFont="1" applyBorder="1" applyAlignment="1" applyProtection="1">
      <alignment horizontal="left" vertical="center"/>
    </xf>
    <xf numFmtId="0" fontId="9" fillId="0" borderId="32" xfId="0" applyFont="1" applyBorder="1" applyAlignment="1" applyProtection="1">
      <alignment horizontal="left" vertical="center"/>
    </xf>
    <xf numFmtId="0" fontId="9" fillId="0" borderId="33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34" xfId="0" applyFont="1" applyBorder="1" applyAlignment="1" applyProtection="1">
      <alignment horizontal="left" vertical="center"/>
    </xf>
    <xf numFmtId="0" fontId="9" fillId="0" borderId="35" xfId="0" applyFont="1" applyBorder="1" applyAlignment="1" applyProtection="1">
      <alignment horizontal="left" vertical="center"/>
    </xf>
    <xf numFmtId="0" fontId="9" fillId="0" borderId="36" xfId="0" applyFont="1" applyBorder="1" applyAlignment="1" applyProtection="1">
      <alignment horizontal="left" vertical="center"/>
    </xf>
    <xf numFmtId="0" fontId="9" fillId="0" borderId="37" xfId="0" applyFont="1" applyBorder="1" applyAlignment="1" applyProtection="1">
      <alignment horizontal="left" vertical="center"/>
    </xf>
    <xf numFmtId="0" fontId="0" fillId="0" borderId="0" xfId="0" applyProtection="1"/>
    <xf numFmtId="0" fontId="27" fillId="0" borderId="0" xfId="0" applyFont="1" applyProtection="1"/>
    <xf numFmtId="0" fontId="27" fillId="0" borderId="38" xfId="0" applyFont="1" applyBorder="1" applyProtection="1"/>
    <xf numFmtId="0" fontId="0" fillId="0" borderId="0" xfId="0" applyBorder="1" applyProtection="1"/>
    <xf numFmtId="0" fontId="0" fillId="0" borderId="0" xfId="0" applyAlignment="1" applyProtection="1">
      <alignment horizontal="right"/>
    </xf>
    <xf numFmtId="0" fontId="27" fillId="0" borderId="0" xfId="0" applyFont="1" applyBorder="1" applyProtection="1"/>
    <xf numFmtId="0" fontId="25" fillId="0" borderId="0" xfId="8" applyAlignment="1" applyProtection="1">
      <alignment horizontal="center"/>
      <protection locked="0"/>
    </xf>
    <xf numFmtId="0" fontId="9" fillId="0" borderId="0" xfId="10" applyFont="1" applyFill="1" applyAlignment="1" applyProtection="1">
      <alignment horizontal="center"/>
    </xf>
    <xf numFmtId="0" fontId="5" fillId="0" borderId="0" xfId="10" applyFill="1" applyAlignment="1" applyProtection="1">
      <alignment horizontal="center"/>
    </xf>
    <xf numFmtId="0" fontId="25" fillId="0" borderId="0" xfId="8" applyAlignment="1" applyProtection="1">
      <alignment horizontal="center"/>
    </xf>
    <xf numFmtId="0" fontId="25" fillId="0" borderId="0" xfId="8" applyFill="1" applyAlignment="1" applyProtection="1">
      <alignment horizontal="center"/>
    </xf>
    <xf numFmtId="165" fontId="5" fillId="0" borderId="0" xfId="10" applyNumberFormat="1" applyFill="1" applyAlignment="1" applyProtection="1">
      <alignment horizontal="center"/>
    </xf>
    <xf numFmtId="2" fontId="5" fillId="0" borderId="0" xfId="10" applyNumberFormat="1" applyFill="1" applyAlignment="1" applyProtection="1">
      <alignment horizontal="center"/>
    </xf>
    <xf numFmtId="165" fontId="9" fillId="0" borderId="0" xfId="10" applyNumberFormat="1" applyFont="1" applyFill="1" applyAlignment="1" applyProtection="1">
      <alignment horizontal="center"/>
    </xf>
    <xf numFmtId="0" fontId="9" fillId="0" borderId="0" xfId="0" applyNumberFormat="1" applyFont="1" applyAlignment="1" applyProtection="1">
      <alignment horizontal="center"/>
      <protection locked="0"/>
    </xf>
    <xf numFmtId="0" fontId="9" fillId="0" borderId="0" xfId="8" applyNumberFormat="1" applyFont="1" applyAlignment="1" applyProtection="1">
      <alignment horizontal="center"/>
      <protection locked="0"/>
    </xf>
    <xf numFmtId="0" fontId="4" fillId="0" borderId="0" xfId="7" applyFont="1" applyAlignment="1" applyProtection="1">
      <protection hidden="1"/>
    </xf>
    <xf numFmtId="165" fontId="9" fillId="0" borderId="0" xfId="4" applyNumberFormat="1" applyFont="1" applyAlignment="1" applyProtection="1">
      <alignment horizontal="center"/>
      <protection hidden="1"/>
    </xf>
    <xf numFmtId="0" fontId="9" fillId="0" borderId="0" xfId="4" applyNumberFormat="1" applyFont="1" applyAlignment="1" applyProtection="1">
      <alignment horizontal="center"/>
      <protection hidden="1"/>
    </xf>
    <xf numFmtId="165" fontId="10" fillId="0" borderId="0" xfId="4" applyNumberFormat="1" applyFont="1" applyFill="1" applyAlignment="1" applyProtection="1">
      <alignment horizontal="center"/>
      <protection hidden="1"/>
    </xf>
    <xf numFmtId="165" fontId="5" fillId="0" borderId="0" xfId="4" applyNumberFormat="1" applyFill="1" applyBorder="1" applyAlignment="1" applyProtection="1">
      <alignment horizontal="center"/>
      <protection hidden="1"/>
    </xf>
    <xf numFmtId="0" fontId="5" fillId="0" borderId="0" xfId="4" applyAlignment="1" applyProtection="1">
      <alignment horizontal="center"/>
      <protection hidden="1"/>
    </xf>
    <xf numFmtId="165" fontId="5" fillId="0" borderId="0" xfId="4" applyNumberFormat="1" applyBorder="1" applyAlignment="1" applyProtection="1">
      <alignment horizontal="center"/>
      <protection hidden="1"/>
    </xf>
    <xf numFmtId="0" fontId="4" fillId="0" borderId="0" xfId="7" applyFont="1" applyAlignment="1" applyProtection="1">
      <alignment vertical="center"/>
      <protection hidden="1"/>
    </xf>
    <xf numFmtId="165" fontId="9" fillId="0" borderId="0" xfId="4" applyNumberFormat="1" applyFont="1" applyAlignment="1" applyProtection="1">
      <alignment horizontal="center" vertical="center"/>
      <protection hidden="1"/>
    </xf>
    <xf numFmtId="165" fontId="10" fillId="0" borderId="0" xfId="4" applyNumberFormat="1" applyFont="1" applyFill="1" applyAlignment="1" applyProtection="1">
      <alignment horizontal="center" vertical="center"/>
      <protection hidden="1"/>
    </xf>
    <xf numFmtId="165" fontId="5" fillId="0" borderId="0" xfId="4" applyNumberFormat="1" applyFill="1" applyBorder="1" applyAlignment="1" applyProtection="1">
      <alignment horizontal="center" vertical="center"/>
      <protection hidden="1"/>
    </xf>
    <xf numFmtId="165" fontId="5" fillId="0" borderId="0" xfId="4" applyNumberFormat="1" applyBorder="1" applyAlignment="1" applyProtection="1">
      <alignment horizontal="center" vertical="center"/>
      <protection hidden="1"/>
    </xf>
    <xf numFmtId="0" fontId="5" fillId="0" borderId="36" xfId="11" applyFont="1" applyBorder="1" applyAlignment="1" applyProtection="1">
      <alignment horizontal="left"/>
      <protection hidden="1"/>
    </xf>
    <xf numFmtId="0" fontId="5" fillId="0" borderId="12" xfId="5" applyFont="1" applyBorder="1" applyAlignment="1" applyProtection="1">
      <alignment horizontal="left"/>
      <protection hidden="1"/>
    </xf>
    <xf numFmtId="0" fontId="8" fillId="0" borderId="0" xfId="11" applyFont="1" applyBorder="1" applyAlignment="1" applyProtection="1">
      <alignment horizontal="left" vertical="center"/>
      <protection hidden="1"/>
    </xf>
    <xf numFmtId="0" fontId="5" fillId="0" borderId="0" xfId="11" applyFont="1" applyBorder="1" applyAlignment="1" applyProtection="1">
      <alignment horizontal="center"/>
      <protection hidden="1"/>
    </xf>
    <xf numFmtId="0" fontId="42" fillId="0" borderId="0" xfId="11" applyFont="1" applyBorder="1" applyAlignment="1" applyProtection="1">
      <alignment horizontal="left"/>
      <protection hidden="1"/>
    </xf>
    <xf numFmtId="0" fontId="5" fillId="0" borderId="0" xfId="11" applyFont="1" applyBorder="1" applyAlignment="1" applyProtection="1">
      <alignment horizontal="left"/>
      <protection hidden="1"/>
    </xf>
    <xf numFmtId="167" fontId="6" fillId="0" borderId="0" xfId="11" applyNumberFormat="1" applyFont="1" applyBorder="1" applyAlignment="1" applyProtection="1">
      <protection hidden="1"/>
    </xf>
    <xf numFmtId="0" fontId="28" fillId="0" borderId="0" xfId="7" applyFont="1" applyAlignment="1" applyProtection="1">
      <alignment horizontal="left" vertical="center"/>
      <protection hidden="1"/>
    </xf>
    <xf numFmtId="0" fontId="5" fillId="0" borderId="12" xfId="5" applyFont="1" applyBorder="1" applyAlignment="1" applyProtection="1">
      <alignment horizontal="left" vertical="center"/>
      <protection hidden="1"/>
    </xf>
    <xf numFmtId="0" fontId="5" fillId="0" borderId="39" xfId="5" applyFont="1" applyBorder="1" applyAlignment="1" applyProtection="1">
      <alignment horizontal="left" vertical="center"/>
      <protection hidden="1"/>
    </xf>
    <xf numFmtId="0" fontId="18" fillId="0" borderId="0" xfId="4" applyFont="1" applyBorder="1" applyAlignment="1" applyProtection="1">
      <alignment horizontal="left" vertical="center"/>
      <protection hidden="1"/>
    </xf>
    <xf numFmtId="0" fontId="5" fillId="0" borderId="36" xfId="4" applyFont="1" applyBorder="1" applyAlignment="1" applyProtection="1">
      <alignment horizontal="left" vertical="center"/>
      <protection hidden="1"/>
    </xf>
    <xf numFmtId="0" fontId="18" fillId="0" borderId="36" xfId="4" applyFont="1" applyBorder="1" applyAlignment="1" applyProtection="1">
      <alignment horizontal="left" vertical="center"/>
      <protection hidden="1"/>
    </xf>
    <xf numFmtId="0" fontId="9" fillId="0" borderId="0" xfId="4" applyFont="1" applyFill="1" applyBorder="1" applyAlignment="1" applyProtection="1">
      <alignment horizontal="left" vertical="center"/>
      <protection hidden="1"/>
    </xf>
    <xf numFmtId="0" fontId="9" fillId="0" borderId="36" xfId="4" applyFont="1" applyBorder="1" applyAlignment="1" applyProtection="1">
      <alignment horizontal="left" vertical="center"/>
      <protection hidden="1"/>
    </xf>
    <xf numFmtId="0" fontId="20" fillId="0" borderId="0" xfId="4" applyFont="1" applyFill="1" applyAlignment="1" applyProtection="1">
      <alignment horizontal="center" vertical="center"/>
      <protection hidden="1"/>
    </xf>
    <xf numFmtId="0" fontId="20" fillId="0" borderId="0" xfId="4" applyFont="1" applyAlignment="1" applyProtection="1">
      <alignment horizontal="left" vertical="center"/>
      <protection hidden="1"/>
    </xf>
    <xf numFmtId="0" fontId="5" fillId="0" borderId="12" xfId="4" applyFont="1" applyBorder="1" applyAlignment="1" applyProtection="1">
      <alignment horizontal="left" vertical="center"/>
      <protection hidden="1"/>
    </xf>
    <xf numFmtId="164" fontId="5" fillId="4" borderId="40" xfId="5" applyNumberFormat="1" applyFill="1" applyBorder="1" applyAlignment="1" applyProtection="1">
      <alignment horizontal="center" vertical="center"/>
      <protection hidden="1"/>
    </xf>
    <xf numFmtId="0" fontId="6" fillId="0" borderId="41" xfId="11" applyFont="1" applyBorder="1" applyAlignment="1" applyProtection="1">
      <alignment vertical="center"/>
      <protection hidden="1"/>
    </xf>
    <xf numFmtId="0" fontId="5" fillId="0" borderId="40" xfId="5" applyFont="1" applyBorder="1" applyAlignment="1" applyProtection="1">
      <alignment horizontal="left" vertical="center"/>
      <protection hidden="1"/>
    </xf>
    <xf numFmtId="0" fontId="5" fillId="0" borderId="0" xfId="11" applyFont="1" applyBorder="1" applyAlignment="1" applyProtection="1">
      <alignment horizontal="right"/>
      <protection hidden="1"/>
    </xf>
    <xf numFmtId="0" fontId="20" fillId="0" borderId="0" xfId="4" applyFont="1" applyFill="1" applyAlignment="1" applyProtection="1">
      <alignment horizontal="left" vertical="center"/>
      <protection hidden="1"/>
    </xf>
    <xf numFmtId="164" fontId="6" fillId="0" borderId="6" xfId="11" applyNumberFormat="1" applyFont="1" applyFill="1" applyBorder="1" applyAlignment="1" applyProtection="1">
      <alignment horizontal="center" vertical="center"/>
      <protection hidden="1"/>
    </xf>
    <xf numFmtId="165" fontId="6" fillId="0" borderId="4" xfId="11" applyNumberFormat="1" applyFont="1" applyFill="1" applyBorder="1" applyAlignment="1" applyProtection="1">
      <alignment horizontal="center" vertical="center"/>
      <protection hidden="1"/>
    </xf>
    <xf numFmtId="0" fontId="45" fillId="0" borderId="0" xfId="11" applyFont="1" applyBorder="1" applyAlignment="1" applyProtection="1">
      <alignment vertical="center"/>
      <protection hidden="1"/>
    </xf>
    <xf numFmtId="0" fontId="9" fillId="0" borderId="14" xfId="11" applyFont="1" applyBorder="1" applyAlignment="1" applyProtection="1">
      <alignment horizontal="center" vertical="center"/>
      <protection hidden="1"/>
    </xf>
    <xf numFmtId="0" fontId="9" fillId="0" borderId="2" xfId="11" applyFont="1" applyBorder="1" applyAlignment="1" applyProtection="1">
      <alignment horizontal="center" vertical="center"/>
      <protection hidden="1"/>
    </xf>
    <xf numFmtId="0" fontId="45" fillId="0" borderId="0" xfId="11" applyNumberFormat="1" applyFont="1" applyFill="1" applyBorder="1" applyAlignment="1" applyProtection="1">
      <alignment horizontal="left" vertical="center"/>
      <protection hidden="1"/>
    </xf>
    <xf numFmtId="0" fontId="22" fillId="0" borderId="7" xfId="4" applyNumberFormat="1" applyFont="1" applyFill="1" applyBorder="1" applyAlignment="1" applyProtection="1">
      <alignment horizontal="center" vertical="center"/>
      <protection locked="0" hidden="1"/>
    </xf>
    <xf numFmtId="0" fontId="19" fillId="0" borderId="0" xfId="4" applyFont="1" applyBorder="1" applyAlignment="1" applyProtection="1">
      <alignment horizontal="left" vertical="center"/>
      <protection hidden="1"/>
    </xf>
    <xf numFmtId="0" fontId="22" fillId="0" borderId="0" xfId="4" applyFont="1" applyAlignment="1" applyProtection="1">
      <alignment horizontal="center" vertical="center"/>
      <protection hidden="1"/>
    </xf>
    <xf numFmtId="0" fontId="19" fillId="0" borderId="0" xfId="4" applyFont="1" applyFill="1" applyBorder="1" applyAlignment="1" applyProtection="1">
      <alignment horizontal="center" vertical="center"/>
      <protection hidden="1"/>
    </xf>
    <xf numFmtId="0" fontId="5" fillId="0" borderId="0" xfId="4" applyNumberFormat="1" applyFont="1" applyFill="1" applyBorder="1" applyAlignment="1" applyProtection="1">
      <alignment horizontal="center" vertical="center"/>
      <protection hidden="1"/>
    </xf>
    <xf numFmtId="164" fontId="5" fillId="0" borderId="0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Fill="1" applyBorder="1" applyAlignment="1" applyProtection="1">
      <alignment horizontal="left" vertical="center"/>
      <protection hidden="1"/>
    </xf>
    <xf numFmtId="0" fontId="5" fillId="0" borderId="10" xfId="4" applyFont="1" applyFill="1" applyBorder="1" applyAlignment="1" applyProtection="1">
      <alignment horizontal="center" vertical="center"/>
      <protection hidden="1"/>
    </xf>
    <xf numFmtId="164" fontId="22" fillId="0" borderId="8" xfId="4" applyNumberFormat="1" applyFont="1" applyFill="1" applyBorder="1" applyAlignment="1" applyProtection="1">
      <alignment horizontal="center" vertical="center"/>
      <protection locked="0" hidden="1"/>
    </xf>
    <xf numFmtId="164" fontId="22" fillId="0" borderId="9" xfId="4" applyNumberFormat="1" applyFont="1" applyFill="1" applyBorder="1" applyAlignment="1" applyProtection="1">
      <alignment horizontal="center" vertical="center"/>
      <protection locked="0" hidden="1"/>
    </xf>
    <xf numFmtId="0" fontId="22" fillId="0" borderId="7" xfId="4" applyFont="1" applyFill="1" applyBorder="1" applyAlignment="1" applyProtection="1">
      <alignment horizontal="center" vertical="center"/>
      <protection locked="0" hidden="1"/>
    </xf>
    <xf numFmtId="0" fontId="9" fillId="0" borderId="0" xfId="11" applyFont="1" applyProtection="1">
      <protection hidden="1"/>
    </xf>
    <xf numFmtId="0" fontId="6" fillId="0" borderId="30" xfId="4" applyFont="1" applyBorder="1" applyAlignment="1" applyProtection="1">
      <alignment horizontal="center" vertical="center"/>
      <protection hidden="1"/>
    </xf>
    <xf numFmtId="164" fontId="5" fillId="4" borderId="22" xfId="4" applyNumberFormat="1" applyFill="1" applyBorder="1" applyAlignment="1" applyProtection="1">
      <alignment horizontal="center" vertical="center"/>
      <protection hidden="1"/>
    </xf>
    <xf numFmtId="164" fontId="5" fillId="4" borderId="20" xfId="4" applyNumberFormat="1" applyFill="1" applyBorder="1" applyAlignment="1" applyProtection="1">
      <alignment horizontal="center" vertical="center"/>
      <protection hidden="1"/>
    </xf>
    <xf numFmtId="9" fontId="46" fillId="0" borderId="0" xfId="4" applyNumberFormat="1" applyFont="1" applyFill="1" applyBorder="1" applyAlignment="1" applyProtection="1">
      <alignment horizontal="left" vertical="center"/>
      <protection hidden="1"/>
    </xf>
    <xf numFmtId="0" fontId="46" fillId="0" borderId="0" xfId="4" applyFont="1" applyAlignment="1" applyProtection="1">
      <alignment horizontal="left" vertical="center"/>
      <protection hidden="1"/>
    </xf>
    <xf numFmtId="164" fontId="22" fillId="0" borderId="42" xfId="4" applyNumberFormat="1" applyFont="1" applyFill="1" applyBorder="1" applyAlignment="1" applyProtection="1">
      <alignment horizontal="center" vertical="center"/>
      <protection locked="0" hidden="1"/>
    </xf>
    <xf numFmtId="0" fontId="6" fillId="0" borderId="30" xfId="11" applyFont="1" applyFill="1" applyBorder="1" applyAlignment="1" applyProtection="1">
      <alignment horizontal="center" vertical="center"/>
      <protection hidden="1"/>
    </xf>
    <xf numFmtId="0" fontId="6" fillId="0" borderId="27" xfId="4" applyFont="1" applyFill="1" applyBorder="1" applyAlignment="1" applyProtection="1">
      <alignment horizontal="center" vertical="center"/>
      <protection hidden="1"/>
    </xf>
    <xf numFmtId="164" fontId="5" fillId="4" borderId="26" xfId="4" applyNumberFormat="1" applyFont="1" applyFill="1" applyBorder="1" applyAlignment="1" applyProtection="1">
      <alignment horizontal="center" vertical="center"/>
      <protection hidden="1"/>
    </xf>
    <xf numFmtId="0" fontId="5" fillId="0" borderId="27" xfId="4" applyBorder="1" applyAlignment="1" applyProtection="1">
      <alignment horizontal="center" vertical="center"/>
      <protection hidden="1"/>
    </xf>
    <xf numFmtId="0" fontId="6" fillId="0" borderId="7" xfId="4" applyFont="1" applyBorder="1" applyAlignment="1" applyProtection="1">
      <alignment horizontal="center" vertical="center"/>
      <protection hidden="1"/>
    </xf>
    <xf numFmtId="0" fontId="47" fillId="0" borderId="11" xfId="4" applyNumberFormat="1" applyFont="1" applyBorder="1" applyAlignment="1" applyProtection="1">
      <alignment horizontal="center" vertical="center"/>
      <protection locked="0" hidden="1"/>
    </xf>
    <xf numFmtId="0" fontId="6" fillId="4" borderId="9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left" vertical="center"/>
      <protection hidden="1"/>
    </xf>
    <xf numFmtId="9" fontId="5" fillId="2" borderId="7" xfId="4" applyNumberFormat="1" applyFill="1" applyBorder="1" applyAlignment="1" applyProtection="1">
      <alignment horizontal="center" vertical="center"/>
      <protection hidden="1"/>
    </xf>
    <xf numFmtId="0" fontId="5" fillId="2" borderId="8" xfId="4" applyFill="1" applyBorder="1" applyAlignment="1" applyProtection="1">
      <alignment horizontal="center" vertical="center"/>
      <protection hidden="1"/>
    </xf>
    <xf numFmtId="0" fontId="5" fillId="2" borderId="9" xfId="4" applyFill="1" applyBorder="1" applyAlignment="1" applyProtection="1">
      <alignment horizontal="center" vertical="center"/>
      <protection hidden="1"/>
    </xf>
    <xf numFmtId="9" fontId="5" fillId="2" borderId="7" xfId="4" applyNumberFormat="1" applyFont="1" applyFill="1" applyBorder="1" applyAlignment="1" applyProtection="1">
      <alignment horizontal="center" vertical="center"/>
      <protection hidden="1"/>
    </xf>
    <xf numFmtId="0" fontId="9" fillId="0" borderId="0" xfId="4" applyFont="1" applyFill="1" applyBorder="1" applyAlignment="1" applyProtection="1">
      <alignment horizontal="right" vertical="center"/>
      <protection hidden="1"/>
    </xf>
    <xf numFmtId="0" fontId="5" fillId="0" borderId="0" xfId="4" applyFill="1" applyBorder="1" applyAlignment="1" applyProtection="1">
      <alignment horizontal="right" vertical="center"/>
      <protection hidden="1"/>
    </xf>
    <xf numFmtId="164" fontId="5" fillId="0" borderId="0" xfId="4" applyNumberFormat="1" applyFill="1" applyBorder="1" applyAlignment="1" applyProtection="1">
      <alignment horizontal="left" vertical="center"/>
      <protection hidden="1"/>
    </xf>
    <xf numFmtId="0" fontId="22" fillId="0" borderId="23" xfId="4" applyNumberFormat="1" applyFont="1" applyFill="1" applyBorder="1" applyAlignment="1" applyProtection="1">
      <alignment horizontal="left" vertical="center"/>
      <protection locked="0" hidden="1"/>
    </xf>
    <xf numFmtId="2" fontId="5" fillId="0" borderId="0" xfId="4" applyNumberFormat="1" applyFill="1" applyBorder="1" applyAlignment="1" applyProtection="1">
      <alignment horizontal="left" vertical="center"/>
      <protection hidden="1"/>
    </xf>
    <xf numFmtId="0" fontId="22" fillId="0" borderId="32" xfId="4" applyNumberFormat="1" applyFont="1" applyFill="1" applyBorder="1" applyAlignment="1" applyProtection="1">
      <alignment horizontal="left" vertical="center"/>
      <protection locked="0" hidden="1"/>
    </xf>
    <xf numFmtId="164" fontId="6" fillId="2" borderId="21" xfId="4" applyNumberFormat="1" applyFont="1" applyFill="1" applyBorder="1" applyAlignment="1" applyProtection="1">
      <alignment horizontal="center" vertical="center"/>
      <protection hidden="1"/>
    </xf>
    <xf numFmtId="0" fontId="47" fillId="0" borderId="0" xfId="4" applyNumberFormat="1" applyFont="1" applyFill="1" applyBorder="1" applyAlignment="1" applyProtection="1">
      <alignment horizontal="center" vertical="center"/>
      <protection locked="0" hidden="1"/>
    </xf>
    <xf numFmtId="1" fontId="22" fillId="0" borderId="8" xfId="4" applyNumberFormat="1" applyFont="1" applyFill="1" applyBorder="1" applyAlignment="1" applyProtection="1">
      <alignment horizontal="center" vertical="center"/>
      <protection locked="0" hidden="1"/>
    </xf>
    <xf numFmtId="0" fontId="47" fillId="0" borderId="0" xfId="4" applyNumberFormat="1" applyFont="1" applyFill="1" applyBorder="1" applyAlignment="1" applyProtection="1">
      <alignment horizontal="center" vertical="center"/>
      <protection hidden="1"/>
    </xf>
    <xf numFmtId="9" fontId="5" fillId="0" borderId="7" xfId="4" applyNumberFormat="1" applyFont="1" applyFill="1" applyBorder="1" applyAlignment="1" applyProtection="1">
      <alignment horizontal="center" vertical="center"/>
      <protection hidden="1"/>
    </xf>
    <xf numFmtId="9" fontId="5" fillId="0" borderId="7" xfId="4" applyNumberFormat="1" applyFill="1" applyBorder="1" applyAlignment="1" applyProtection="1">
      <alignment horizontal="center" vertical="center"/>
      <protection hidden="1"/>
    </xf>
    <xf numFmtId="0" fontId="6" fillId="5" borderId="36" xfId="4" applyFont="1" applyFill="1" applyBorder="1" applyAlignment="1" applyProtection="1">
      <alignment horizontal="center" vertical="center"/>
      <protection hidden="1"/>
    </xf>
    <xf numFmtId="0" fontId="5" fillId="5" borderId="36" xfId="4" applyFill="1" applyBorder="1" applyAlignment="1" applyProtection="1">
      <alignment horizontal="center" vertical="center"/>
      <protection hidden="1"/>
    </xf>
    <xf numFmtId="9" fontId="46" fillId="5" borderId="36" xfId="4" applyNumberFormat="1" applyFont="1" applyFill="1" applyBorder="1" applyAlignment="1" applyProtection="1">
      <alignment horizontal="left" vertical="center"/>
      <protection hidden="1"/>
    </xf>
    <xf numFmtId="164" fontId="6" fillId="4" borderId="26" xfId="4" applyNumberFormat="1" applyFont="1" applyFill="1" applyBorder="1" applyAlignment="1" applyProtection="1">
      <alignment horizontal="center" vertical="center"/>
      <protection hidden="1"/>
    </xf>
    <xf numFmtId="0" fontId="46" fillId="0" borderId="0" xfId="4" applyFont="1" applyAlignment="1" applyProtection="1">
      <alignment horizontal="right" vertical="center"/>
      <protection hidden="1"/>
    </xf>
    <xf numFmtId="0" fontId="6" fillId="0" borderId="27" xfId="4" applyFont="1" applyBorder="1" applyAlignment="1" applyProtection="1">
      <alignment horizontal="center" vertical="center"/>
      <protection hidden="1"/>
    </xf>
    <xf numFmtId="0" fontId="5" fillId="0" borderId="11" xfId="4" applyFill="1" applyBorder="1" applyAlignment="1" applyProtection="1">
      <alignment horizontal="center" vertical="center"/>
      <protection hidden="1"/>
    </xf>
    <xf numFmtId="0" fontId="49" fillId="0" borderId="0" xfId="4" applyFont="1" applyAlignment="1" applyProtection="1">
      <alignment horizontal="center" vertical="center"/>
      <protection locked="0" hidden="1"/>
    </xf>
    <xf numFmtId="0" fontId="49" fillId="0" borderId="0" xfId="4" applyFont="1" applyFill="1" applyAlignment="1" applyProtection="1">
      <alignment horizontal="center" vertical="center"/>
      <protection locked="0" hidden="1"/>
    </xf>
    <xf numFmtId="0" fontId="50" fillId="0" borderId="0" xfId="4" applyFont="1" applyAlignment="1" applyProtection="1">
      <alignment horizontal="center" vertical="center"/>
      <protection locked="0" hidden="1"/>
    </xf>
    <xf numFmtId="0" fontId="9" fillId="0" borderId="0" xfId="8" applyFont="1" applyAlignment="1" applyProtection="1">
      <alignment horizontal="center"/>
      <protection locked="0"/>
    </xf>
    <xf numFmtId="0" fontId="9" fillId="2" borderId="43" xfId="11" applyFont="1" applyFill="1" applyBorder="1" applyAlignment="1" applyProtection="1">
      <alignment horizontal="left" vertical="center"/>
      <protection hidden="1"/>
    </xf>
    <xf numFmtId="0" fontId="9" fillId="2" borderId="40" xfId="11" applyFont="1" applyFill="1" applyBorder="1" applyAlignment="1" applyProtection="1">
      <alignment horizontal="left" vertical="center"/>
      <protection hidden="1"/>
    </xf>
    <xf numFmtId="0" fontId="5" fillId="0" borderId="10" xfId="11" applyFont="1" applyBorder="1" applyAlignment="1" applyProtection="1">
      <alignment horizontal="center" vertical="center"/>
      <protection hidden="1"/>
    </xf>
    <xf numFmtId="164" fontId="5" fillId="0" borderId="10" xfId="11" applyNumberFormat="1" applyFont="1" applyFill="1" applyBorder="1" applyAlignment="1" applyProtection="1">
      <alignment horizontal="center" vertical="center"/>
      <protection hidden="1"/>
    </xf>
    <xf numFmtId="0" fontId="12" fillId="0" borderId="10" xfId="11" applyFont="1" applyBorder="1" applyAlignment="1" applyProtection="1">
      <alignment horizontal="center" vertical="center"/>
      <protection hidden="1"/>
    </xf>
    <xf numFmtId="164" fontId="6" fillId="0" borderId="0" xfId="11" applyNumberFormat="1" applyFill="1" applyAlignment="1" applyProtection="1">
      <alignment horizontal="center" vertical="center"/>
      <protection hidden="1"/>
    </xf>
    <xf numFmtId="0" fontId="25" fillId="5" borderId="0" xfId="8" applyFill="1" applyAlignment="1" applyProtection="1">
      <alignment horizontal="center"/>
    </xf>
    <xf numFmtId="0" fontId="9" fillId="0" borderId="0" xfId="8" applyFont="1" applyBorder="1" applyAlignment="1" applyProtection="1">
      <alignment horizontal="center"/>
      <protection locked="0"/>
    </xf>
    <xf numFmtId="0" fontId="9" fillId="0" borderId="0" xfId="0" applyFont="1" applyBorder="1" applyAlignment="1">
      <alignment horizontal="center"/>
    </xf>
    <xf numFmtId="0" fontId="9" fillId="0" borderId="0" xfId="10" applyFont="1" applyBorder="1" applyAlignment="1">
      <alignment horizontal="center"/>
    </xf>
    <xf numFmtId="0" fontId="9" fillId="0" borderId="0" xfId="8" applyFont="1" applyBorder="1" applyAlignment="1">
      <alignment horizontal="center"/>
    </xf>
    <xf numFmtId="2" fontId="9" fillId="0" borderId="0" xfId="8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 applyProtection="1">
      <alignment horizontal="center"/>
    </xf>
    <xf numFmtId="0" fontId="9" fillId="0" borderId="0" xfId="2" applyFont="1" applyFill="1" applyAlignment="1">
      <alignment horizontal="center"/>
    </xf>
    <xf numFmtId="0" fontId="9" fillId="0" borderId="0" xfId="9" applyNumberFormat="1" applyFont="1" applyFill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9" fillId="0" borderId="0" xfId="2" applyNumberFormat="1" applyFont="1" applyAlignment="1" applyProtection="1">
      <alignment horizontal="center"/>
      <protection locked="0"/>
    </xf>
    <xf numFmtId="0" fontId="9" fillId="0" borderId="0" xfId="2" applyNumberFormat="1" applyFont="1" applyFill="1" applyAlignment="1" applyProtection="1">
      <alignment horizontal="center"/>
      <protection locked="0"/>
    </xf>
    <xf numFmtId="0" fontId="9" fillId="0" borderId="0" xfId="9" applyNumberFormat="1" applyFont="1" applyAlignment="1" applyProtection="1">
      <alignment horizontal="center"/>
      <protection locked="0"/>
    </xf>
    <xf numFmtId="0" fontId="52" fillId="0" borderId="0" xfId="3" applyAlignment="1">
      <alignment horizontal="center"/>
    </xf>
    <xf numFmtId="0" fontId="52" fillId="0" borderId="0" xfId="3" applyAlignment="1" applyProtection="1">
      <alignment horizontal="center"/>
      <protection locked="0"/>
    </xf>
    <xf numFmtId="164" fontId="0" fillId="0" borderId="0" xfId="0" applyNumberFormat="1"/>
    <xf numFmtId="0" fontId="0" fillId="0" borderId="0" xfId="0" applyAlignment="1">
      <alignment horizontal="center"/>
    </xf>
    <xf numFmtId="167" fontId="6" fillId="0" borderId="0" xfId="11" applyNumberFormat="1" applyFont="1" applyFill="1" applyBorder="1" applyAlignment="1" applyProtection="1">
      <protection hidden="1"/>
    </xf>
    <xf numFmtId="0" fontId="36" fillId="0" borderId="0" xfId="4" applyFont="1" applyFill="1" applyBorder="1" applyAlignment="1" applyProtection="1">
      <alignment horizontal="center" vertical="center"/>
      <protection hidden="1"/>
    </xf>
    <xf numFmtId="0" fontId="3" fillId="0" borderId="24" xfId="0" applyFont="1" applyBorder="1" applyProtection="1"/>
    <xf numFmtId="0" fontId="0" fillId="0" borderId="31" xfId="0" applyBorder="1" applyProtection="1"/>
    <xf numFmtId="0" fontId="27" fillId="0" borderId="31" xfId="0" applyFont="1" applyBorder="1" applyProtection="1"/>
    <xf numFmtId="0" fontId="0" fillId="0" borderId="32" xfId="0" applyBorder="1" applyProtection="1"/>
    <xf numFmtId="0" fontId="0" fillId="0" borderId="3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34" xfId="0" applyBorder="1"/>
    <xf numFmtId="0" fontId="0" fillId="0" borderId="33" xfId="0" applyBorder="1"/>
    <xf numFmtId="164" fontId="0" fillId="0" borderId="0" xfId="0" applyNumberFormat="1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31" fillId="0" borderId="0" xfId="6" applyFont="1" applyAlignment="1" applyProtection="1">
      <alignment horizontal="left" vertical="center"/>
      <protection hidden="1"/>
    </xf>
    <xf numFmtId="0" fontId="31" fillId="0" borderId="0" xfId="6" applyFont="1" applyBorder="1" applyAlignment="1" applyProtection="1">
      <alignment horizontal="center" vertical="center"/>
      <protection hidden="1"/>
    </xf>
    <xf numFmtId="0" fontId="33" fillId="0" borderId="0" xfId="6" applyFont="1" applyFill="1" applyBorder="1" applyAlignment="1" applyProtection="1">
      <alignment horizontal="center" vertical="center"/>
      <protection locked="0" hidden="1"/>
    </xf>
    <xf numFmtId="0" fontId="9" fillId="0" borderId="14" xfId="6" applyFont="1" applyBorder="1" applyAlignment="1" applyProtection="1">
      <alignment horizontal="center" vertical="center"/>
      <protection hidden="1"/>
    </xf>
    <xf numFmtId="0" fontId="33" fillId="0" borderId="2" xfId="6" applyFont="1" applyFill="1" applyBorder="1" applyAlignment="1" applyProtection="1">
      <alignment horizontal="center" vertical="center"/>
      <protection locked="0" hidden="1"/>
    </xf>
    <xf numFmtId="0" fontId="9" fillId="0" borderId="2" xfId="6" applyFont="1" applyBorder="1" applyAlignment="1" applyProtection="1">
      <alignment horizontal="center" vertical="center"/>
      <protection hidden="1"/>
    </xf>
    <xf numFmtId="0" fontId="33" fillId="0" borderId="3" xfId="6" applyFont="1" applyFill="1" applyBorder="1" applyAlignment="1" applyProtection="1">
      <alignment horizontal="center" vertical="center"/>
      <protection locked="0" hidden="1"/>
    </xf>
    <xf numFmtId="0" fontId="9" fillId="0" borderId="13" xfId="6" applyFont="1" applyFill="1" applyBorder="1" applyAlignment="1" applyProtection="1">
      <alignment horizontal="center" vertical="center"/>
      <protection hidden="1"/>
    </xf>
    <xf numFmtId="0" fontId="9" fillId="0" borderId="10" xfId="6" applyFont="1" applyFill="1" applyBorder="1" applyAlignment="1" applyProtection="1">
      <alignment horizontal="center" vertical="center"/>
      <protection hidden="1"/>
    </xf>
    <xf numFmtId="0" fontId="9" fillId="0" borderId="11" xfId="6" applyFont="1" applyFill="1" applyBorder="1" applyAlignment="1" applyProtection="1">
      <alignment horizontal="center" vertical="center"/>
      <protection hidden="1"/>
    </xf>
    <xf numFmtId="0" fontId="33" fillId="0" borderId="7" xfId="6" applyFont="1" applyFill="1" applyBorder="1" applyAlignment="1" applyProtection="1">
      <alignment horizontal="center" vertical="center"/>
      <protection locked="0" hidden="1"/>
    </xf>
    <xf numFmtId="166" fontId="28" fillId="2" borderId="8" xfId="6" applyNumberFormat="1" applyFont="1" applyFill="1" applyBorder="1" applyAlignment="1" applyProtection="1">
      <alignment horizontal="center" vertical="center"/>
      <protection hidden="1"/>
    </xf>
    <xf numFmtId="166" fontId="28" fillId="2" borderId="9" xfId="6" applyNumberFormat="1" applyFont="1" applyFill="1" applyBorder="1" applyAlignment="1" applyProtection="1">
      <alignment horizontal="center" vertical="center"/>
      <protection hidden="1"/>
    </xf>
    <xf numFmtId="0" fontId="9" fillId="0" borderId="14" xfId="6" applyFont="1" applyFill="1" applyBorder="1" applyAlignment="1" applyProtection="1">
      <alignment horizontal="center" vertical="center"/>
      <protection hidden="1"/>
    </xf>
    <xf numFmtId="0" fontId="9" fillId="0" borderId="45" xfId="6" applyFont="1" applyFill="1" applyBorder="1" applyAlignment="1" applyProtection="1">
      <alignment horizontal="center" vertical="center"/>
      <protection hidden="1"/>
    </xf>
    <xf numFmtId="0" fontId="33" fillId="0" borderId="46" xfId="6" applyFont="1" applyFill="1" applyBorder="1" applyAlignment="1" applyProtection="1">
      <alignment horizontal="center" vertical="center"/>
      <protection locked="0" hidden="1"/>
    </xf>
    <xf numFmtId="0" fontId="9" fillId="0" borderId="14" xfId="6" applyFont="1" applyFill="1" applyBorder="1" applyAlignment="1" applyProtection="1">
      <alignment horizontal="center" vertical="center"/>
      <protection locked="0" hidden="1"/>
    </xf>
    <xf numFmtId="0" fontId="9" fillId="0" borderId="2" xfId="6" applyFont="1" applyFill="1" applyBorder="1" applyAlignment="1" applyProtection="1">
      <alignment horizontal="center" vertical="center"/>
      <protection hidden="1"/>
    </xf>
    <xf numFmtId="166" fontId="28" fillId="2" borderId="9" xfId="6" quotePrefix="1" applyNumberFormat="1" applyFont="1" applyFill="1" applyBorder="1" applyAlignment="1" applyProtection="1">
      <alignment horizontal="center" vertical="center"/>
      <protection hidden="1"/>
    </xf>
    <xf numFmtId="166" fontId="31" fillId="0" borderId="0" xfId="6" applyNumberFormat="1" applyFont="1" applyAlignment="1" applyProtection="1">
      <alignment horizontal="center" vertical="center"/>
      <protection hidden="1"/>
    </xf>
    <xf numFmtId="0" fontId="31" fillId="0" borderId="0" xfId="6" applyFont="1" applyFill="1" applyBorder="1" applyAlignment="1" applyProtection="1">
      <alignment horizontal="center" vertical="center"/>
      <protection hidden="1"/>
    </xf>
    <xf numFmtId="166" fontId="28" fillId="0" borderId="0" xfId="6" applyNumberFormat="1" applyFont="1" applyFill="1" applyBorder="1" applyAlignment="1" applyProtection="1">
      <alignment horizontal="center" vertical="center"/>
      <protection hidden="1"/>
    </xf>
    <xf numFmtId="0" fontId="9" fillId="0" borderId="47" xfId="6" applyFont="1" applyFill="1" applyBorder="1" applyAlignment="1" applyProtection="1">
      <alignment horizontal="center" vertical="center"/>
      <protection hidden="1"/>
    </xf>
    <xf numFmtId="0" fontId="9" fillId="0" borderId="48" xfId="6" applyFont="1" applyFill="1" applyBorder="1" applyAlignment="1" applyProtection="1">
      <alignment horizontal="center" vertical="center"/>
      <protection hidden="1"/>
    </xf>
    <xf numFmtId="0" fontId="9" fillId="0" borderId="33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34" xfId="0" applyFont="1" applyBorder="1" applyAlignment="1" applyProtection="1">
      <alignment vertical="center"/>
    </xf>
    <xf numFmtId="0" fontId="36" fillId="0" borderId="33" xfId="0" applyFont="1" applyBorder="1" applyAlignment="1" applyProtection="1">
      <alignment vertical="center"/>
    </xf>
    <xf numFmtId="0" fontId="36" fillId="0" borderId="0" xfId="0" applyFont="1" applyBorder="1" applyAlignment="1" applyProtection="1">
      <alignment vertical="center"/>
    </xf>
    <xf numFmtId="0" fontId="36" fillId="0" borderId="34" xfId="0" applyFont="1" applyBorder="1" applyAlignment="1" applyProtection="1">
      <alignment vertical="center"/>
    </xf>
    <xf numFmtId="0" fontId="39" fillId="0" borderId="33" xfId="0" applyFont="1" applyBorder="1" applyAlignment="1" applyProtection="1">
      <alignment vertical="center"/>
    </xf>
    <xf numFmtId="0" fontId="39" fillId="0" borderId="0" xfId="0" applyFont="1" applyBorder="1" applyAlignment="1" applyProtection="1">
      <alignment vertical="center"/>
    </xf>
    <xf numFmtId="0" fontId="39" fillId="0" borderId="34" xfId="0" applyFont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10" applyNumberFormat="1" applyFont="1" applyFill="1" applyBorder="1" applyAlignment="1" applyProtection="1">
      <alignment horizontal="center" vertical="center"/>
    </xf>
    <xf numFmtId="0" fontId="9" fillId="0" borderId="0" xfId="9" applyNumberFormat="1" applyFont="1" applyFill="1" applyBorder="1" applyAlignment="1" applyProtection="1">
      <alignment horizontal="center" vertical="center"/>
    </xf>
    <xf numFmtId="0" fontId="9" fillId="0" borderId="0" xfId="2" applyNumberFormat="1" applyFont="1" applyFill="1" applyAlignment="1" applyProtection="1">
      <alignment horizontal="center" vertical="center"/>
    </xf>
    <xf numFmtId="0" fontId="9" fillId="0" borderId="0" xfId="9" applyNumberFormat="1" applyFont="1" applyFill="1" applyAlignment="1" applyProtection="1">
      <alignment horizontal="center" vertical="center"/>
    </xf>
    <xf numFmtId="0" fontId="9" fillId="0" borderId="0" xfId="9" applyNumberFormat="1" applyFill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0" xfId="10" applyNumberFormat="1" applyFont="1" applyFill="1" applyBorder="1" applyAlignment="1" applyProtection="1">
      <alignment horizontal="center"/>
    </xf>
    <xf numFmtId="0" fontId="9" fillId="0" borderId="0" xfId="9" applyNumberFormat="1" applyFont="1" applyFill="1" applyBorder="1" applyAlignment="1" applyProtection="1">
      <alignment horizontal="center"/>
    </xf>
    <xf numFmtId="0" fontId="9" fillId="0" borderId="0" xfId="0" applyNumberFormat="1" applyFont="1" applyBorder="1" applyAlignment="1" applyProtection="1">
      <alignment horizontal="center"/>
    </xf>
    <xf numFmtId="0" fontId="9" fillId="0" borderId="0" xfId="2" applyNumberFormat="1" applyFont="1" applyFill="1" applyAlignment="1" applyProtection="1">
      <alignment horizontal="center"/>
    </xf>
    <xf numFmtId="0" fontId="9" fillId="0" borderId="0" xfId="2" applyNumberFormat="1" applyFont="1" applyAlignment="1" applyProtection="1">
      <alignment horizontal="center"/>
    </xf>
    <xf numFmtId="0" fontId="9" fillId="0" borderId="0" xfId="9" applyNumberFormat="1" applyAlignment="1" applyProtection="1">
      <alignment horizontal="center"/>
    </xf>
    <xf numFmtId="0" fontId="52" fillId="0" borderId="0" xfId="3" applyNumberFormat="1" applyAlignment="1" applyProtection="1">
      <alignment horizontal="center"/>
    </xf>
    <xf numFmtId="0" fontId="9" fillId="0" borderId="0" xfId="10" applyNumberFormat="1" applyFont="1" applyBorder="1" applyAlignment="1" applyProtection="1">
      <alignment horizontal="center"/>
    </xf>
    <xf numFmtId="0" fontId="9" fillId="0" borderId="0" xfId="9" applyNumberFormat="1" applyFont="1" applyBorder="1" applyAlignment="1" applyProtection="1">
      <alignment horizontal="center"/>
    </xf>
    <xf numFmtId="165" fontId="9" fillId="0" borderId="0" xfId="2" applyNumberFormat="1" applyFont="1" applyFill="1" applyAlignment="1" applyProtection="1">
      <alignment horizontal="center"/>
    </xf>
    <xf numFmtId="165" fontId="9" fillId="0" borderId="0" xfId="9" applyNumberFormat="1" applyAlignment="1" applyProtection="1">
      <alignment horizontal="center"/>
    </xf>
    <xf numFmtId="165" fontId="9" fillId="0" borderId="0" xfId="2" applyNumberFormat="1" applyFont="1" applyAlignment="1" applyProtection="1">
      <alignment horizontal="center"/>
    </xf>
    <xf numFmtId="2" fontId="9" fillId="0" borderId="0" xfId="0" applyNumberFormat="1" applyFont="1" applyBorder="1" applyAlignment="1" applyProtection="1">
      <alignment horizontal="center"/>
    </xf>
    <xf numFmtId="2" fontId="9" fillId="0" borderId="0" xfId="2" applyNumberFormat="1" applyFont="1" applyAlignment="1" applyProtection="1">
      <alignment horizontal="center"/>
    </xf>
    <xf numFmtId="165" fontId="9" fillId="0" borderId="0" xfId="0" applyNumberFormat="1" applyFont="1" applyBorder="1" applyAlignment="1" applyProtection="1">
      <alignment horizontal="center"/>
    </xf>
    <xf numFmtId="2" fontId="9" fillId="0" borderId="0" xfId="9" applyNumberFormat="1" applyFont="1" applyBorder="1" applyAlignment="1" applyProtection="1">
      <alignment horizontal="center"/>
    </xf>
    <xf numFmtId="0" fontId="5" fillId="0" borderId="10" xfId="4" applyBorder="1" applyAlignment="1" applyProtection="1">
      <alignment horizontal="center" vertical="center"/>
      <protection hidden="1"/>
    </xf>
    <xf numFmtId="0" fontId="5" fillId="0" borderId="10" xfId="4" applyFont="1" applyBorder="1" applyAlignment="1" applyProtection="1">
      <alignment horizontal="center" vertical="center"/>
      <protection hidden="1"/>
    </xf>
    <xf numFmtId="0" fontId="5" fillId="0" borderId="13" xfId="4" applyBorder="1" applyAlignment="1" applyProtection="1">
      <alignment horizontal="center" vertical="center"/>
      <protection hidden="1"/>
    </xf>
    <xf numFmtId="0" fontId="40" fillId="0" borderId="0" xfId="6" applyFont="1" applyAlignment="1" applyProtection="1">
      <alignment horizontal="left" vertical="top"/>
      <protection hidden="1"/>
    </xf>
    <xf numFmtId="0" fontId="2" fillId="0" borderId="0" xfId="12"/>
    <xf numFmtId="0" fontId="55" fillId="0" borderId="0" xfId="6" applyFont="1" applyFill="1" applyAlignment="1" applyProtection="1">
      <alignment horizontal="center" vertical="center"/>
      <protection hidden="1"/>
    </xf>
    <xf numFmtId="0" fontId="56" fillId="6" borderId="0" xfId="6" applyFont="1" applyFill="1" applyAlignment="1" applyProtection="1">
      <alignment horizontal="left" vertical="center"/>
      <protection hidden="1"/>
    </xf>
    <xf numFmtId="0" fontId="9" fillId="6" borderId="0" xfId="6" applyFont="1" applyFill="1" applyAlignment="1" applyProtection="1">
      <alignment horizontal="center" vertical="center"/>
      <protection hidden="1"/>
    </xf>
    <xf numFmtId="0" fontId="57" fillId="0" borderId="0" xfId="6" applyFont="1" applyFill="1" applyBorder="1" applyAlignment="1" applyProtection="1">
      <alignment horizontal="left" vertical="top"/>
      <protection hidden="1"/>
    </xf>
    <xf numFmtId="0" fontId="9" fillId="0" borderId="0" xfId="6" applyFont="1" applyAlignment="1" applyProtection="1">
      <alignment horizontal="center" vertical="top"/>
      <protection hidden="1"/>
    </xf>
    <xf numFmtId="0" fontId="40" fillId="0" borderId="0" xfId="6" applyFont="1" applyFill="1" applyBorder="1" applyAlignment="1" applyProtection="1">
      <alignment horizontal="left" vertical="top"/>
      <protection hidden="1"/>
    </xf>
    <xf numFmtId="0" fontId="28" fillId="0" borderId="0" xfId="6" applyFont="1" applyFill="1" applyBorder="1" applyAlignment="1" applyProtection="1">
      <alignment horizontal="left" vertical="top"/>
      <protection hidden="1"/>
    </xf>
    <xf numFmtId="0" fontId="9" fillId="0" borderId="0" xfId="6" applyFont="1" applyFill="1" applyAlignment="1" applyProtection="1">
      <alignment horizontal="center" vertical="top"/>
      <protection hidden="1"/>
    </xf>
    <xf numFmtId="0" fontId="9" fillId="0" borderId="27" xfId="6" applyFont="1" applyFill="1" applyBorder="1" applyAlignment="1" applyProtection="1">
      <alignment horizontal="center" vertical="center"/>
      <protection hidden="1"/>
    </xf>
    <xf numFmtId="0" fontId="33" fillId="0" borderId="27" xfId="6" applyFont="1" applyFill="1" applyBorder="1" applyAlignment="1" applyProtection="1">
      <alignment horizontal="center" vertical="center"/>
      <protection locked="0" hidden="1"/>
    </xf>
    <xf numFmtId="0" fontId="9" fillId="0" borderId="18" xfId="6" applyFont="1" applyFill="1" applyBorder="1" applyAlignment="1" applyProtection="1">
      <alignment horizontal="center" vertical="center"/>
      <protection hidden="1"/>
    </xf>
    <xf numFmtId="0" fontId="9" fillId="0" borderId="27" xfId="6" applyFont="1" applyFill="1" applyBorder="1" applyAlignment="1" applyProtection="1">
      <alignment horizontal="center" vertical="center"/>
      <protection locked="0" hidden="1"/>
    </xf>
    <xf numFmtId="0" fontId="9" fillId="0" borderId="26" xfId="6" applyFont="1" applyFill="1" applyBorder="1" applyAlignment="1" applyProtection="1">
      <alignment horizontal="center" vertical="center"/>
      <protection hidden="1"/>
    </xf>
    <xf numFmtId="0" fontId="33" fillId="0" borderId="26" xfId="6" applyFont="1" applyFill="1" applyBorder="1" applyAlignment="1" applyProtection="1">
      <alignment horizontal="center" vertical="center"/>
      <protection locked="0" hidden="1"/>
    </xf>
    <xf numFmtId="166" fontId="28" fillId="2" borderId="26" xfId="6" applyNumberFormat="1" applyFont="1" applyFill="1" applyBorder="1" applyAlignment="1" applyProtection="1">
      <alignment horizontal="center" vertical="center"/>
      <protection hidden="1"/>
    </xf>
    <xf numFmtId="166" fontId="28" fillId="2" borderId="22" xfId="6" applyNumberFormat="1" applyFont="1" applyFill="1" applyBorder="1" applyAlignment="1" applyProtection="1">
      <alignment horizontal="center" vertical="center"/>
      <protection hidden="1"/>
    </xf>
    <xf numFmtId="0" fontId="9" fillId="0" borderId="49" xfId="6" applyFont="1" applyBorder="1" applyAlignment="1" applyProtection="1">
      <alignment horizontal="center" vertical="center"/>
      <protection hidden="1"/>
    </xf>
    <xf numFmtId="0" fontId="33" fillId="0" borderId="49" xfId="6" applyFont="1" applyFill="1" applyBorder="1" applyAlignment="1" applyProtection="1">
      <alignment horizontal="center" vertical="center"/>
      <protection locked="0" hidden="1"/>
    </xf>
    <xf numFmtId="166" fontId="28" fillId="2" borderId="7" xfId="6" applyNumberFormat="1" applyFont="1" applyFill="1" applyBorder="1" applyAlignment="1" applyProtection="1">
      <alignment horizontal="center" vertical="center"/>
      <protection hidden="1"/>
    </xf>
    <xf numFmtId="0" fontId="9" fillId="0" borderId="49" xfId="6" applyFont="1" applyFill="1" applyBorder="1" applyAlignment="1" applyProtection="1">
      <alignment horizontal="center" vertical="center"/>
      <protection hidden="1"/>
    </xf>
    <xf numFmtId="0" fontId="2" fillId="0" borderId="0" xfId="13"/>
    <xf numFmtId="0" fontId="9" fillId="0" borderId="0" xfId="6" applyFont="1" applyAlignment="1" applyProtection="1">
      <alignment horizontal="left" vertical="center"/>
      <protection hidden="1"/>
    </xf>
    <xf numFmtId="0" fontId="2" fillId="0" borderId="0" xfId="14"/>
    <xf numFmtId="0" fontId="2" fillId="0" borderId="0" xfId="13" applyFill="1" applyBorder="1"/>
    <xf numFmtId="0" fontId="2" fillId="0" borderId="0" xfId="15"/>
    <xf numFmtId="0" fontId="9" fillId="0" borderId="27" xfId="6" applyFont="1" applyBorder="1" applyAlignment="1" applyProtection="1">
      <alignment horizontal="center" vertical="center"/>
      <protection hidden="1"/>
    </xf>
    <xf numFmtId="0" fontId="9" fillId="0" borderId="40" xfId="6" applyFont="1" applyFill="1" applyBorder="1" applyAlignment="1" applyProtection="1">
      <alignment horizontal="center" vertical="top"/>
      <protection hidden="1"/>
    </xf>
    <xf numFmtId="0" fontId="9" fillId="0" borderId="40" xfId="6" applyFont="1" applyFill="1" applyBorder="1" applyAlignment="1" applyProtection="1">
      <alignment horizontal="center" vertical="center"/>
      <protection hidden="1"/>
    </xf>
    <xf numFmtId="0" fontId="9" fillId="0" borderId="50" xfId="6" applyFont="1" applyFill="1" applyBorder="1" applyAlignment="1" applyProtection="1">
      <alignment horizontal="center" vertical="center"/>
      <protection hidden="1"/>
    </xf>
    <xf numFmtId="0" fontId="9" fillId="0" borderId="0" xfId="6" applyFont="1" applyBorder="1" applyAlignment="1" applyProtection="1">
      <alignment horizontal="center" vertical="center"/>
      <protection hidden="1"/>
    </xf>
    <xf numFmtId="0" fontId="2" fillId="0" borderId="0" xfId="16"/>
    <xf numFmtId="0" fontId="39" fillId="0" borderId="0" xfId="21" applyFont="1"/>
    <xf numFmtId="0" fontId="39" fillId="0" borderId="0" xfId="21" applyFont="1" applyAlignment="1">
      <alignment horizontal="center"/>
    </xf>
    <xf numFmtId="0" fontId="39" fillId="0" borderId="38" xfId="21" applyFont="1" applyBorder="1"/>
    <xf numFmtId="0" fontId="39" fillId="0" borderId="51" xfId="21" applyFont="1" applyBorder="1"/>
    <xf numFmtId="0" fontId="39" fillId="0" borderId="2" xfId="21" applyFont="1" applyBorder="1"/>
    <xf numFmtId="0" fontId="39" fillId="0" borderId="15" xfId="21" applyFont="1" applyBorder="1"/>
    <xf numFmtId="0" fontId="39" fillId="0" borderId="38" xfId="21" applyFont="1" applyBorder="1" applyAlignment="1">
      <alignment horizontal="center"/>
    </xf>
    <xf numFmtId="0" fontId="39" fillId="0" borderId="52" xfId="21" applyFont="1" applyBorder="1"/>
    <xf numFmtId="0" fontId="39" fillId="0" borderId="53" xfId="21" applyFont="1" applyBorder="1"/>
    <xf numFmtId="0" fontId="39" fillId="0" borderId="52" xfId="21" applyFont="1" applyBorder="1" applyAlignment="1">
      <alignment horizontal="center"/>
    </xf>
    <xf numFmtId="0" fontId="39" fillId="0" borderId="49" xfId="21" applyFont="1" applyBorder="1"/>
    <xf numFmtId="0" fontId="39" fillId="0" borderId="49" xfId="21" applyFont="1" applyBorder="1" applyAlignment="1">
      <alignment horizontal="center"/>
    </xf>
    <xf numFmtId="0" fontId="39" fillId="0" borderId="50" xfId="21" applyFont="1" applyBorder="1"/>
    <xf numFmtId="0" fontId="39" fillId="0" borderId="50" xfId="21" applyFont="1" applyBorder="1" applyAlignment="1">
      <alignment horizontal="center"/>
    </xf>
    <xf numFmtId="0" fontId="9" fillId="0" borderId="38" xfId="21" applyFont="1" applyBorder="1"/>
    <xf numFmtId="0" fontId="9" fillId="0" borderId="51" xfId="21" applyFont="1" applyBorder="1"/>
    <xf numFmtId="0" fontId="9" fillId="0" borderId="2" xfId="21" applyFont="1" applyBorder="1"/>
    <xf numFmtId="0" fontId="9" fillId="0" borderId="15" xfId="21" applyFont="1" applyBorder="1"/>
    <xf numFmtId="0" fontId="58" fillId="0" borderId="38" xfId="21" applyFont="1" applyBorder="1" applyAlignment="1">
      <alignment horizontal="center"/>
    </xf>
    <xf numFmtId="0" fontId="9" fillId="0" borderId="52" xfId="21" applyFont="1" applyBorder="1"/>
    <xf numFmtId="0" fontId="9" fillId="0" borderId="53" xfId="21" applyFont="1" applyBorder="1"/>
    <xf numFmtId="0" fontId="28" fillId="0" borderId="49" xfId="21" applyFont="1" applyBorder="1" applyAlignment="1">
      <alignment horizontal="center"/>
    </xf>
    <xf numFmtId="0" fontId="9" fillId="0" borderId="49" xfId="21" applyFont="1" applyBorder="1"/>
    <xf numFmtId="0" fontId="28" fillId="0" borderId="50" xfId="21" applyFont="1" applyBorder="1" applyAlignment="1">
      <alignment horizontal="center"/>
    </xf>
    <xf numFmtId="0" fontId="9" fillId="0" borderId="50" xfId="21" applyFont="1" applyBorder="1"/>
    <xf numFmtId="0" fontId="9" fillId="0" borderId="38" xfId="21" applyFont="1" applyBorder="1" applyAlignment="1">
      <alignment horizontal="center"/>
    </xf>
    <xf numFmtId="0" fontId="28" fillId="0" borderId="2" xfId="21" applyFont="1" applyBorder="1" applyAlignment="1">
      <alignment horizontal="center"/>
    </xf>
    <xf numFmtId="0" fontId="28" fillId="0" borderId="15" xfId="21" applyFont="1" applyBorder="1" applyAlignment="1">
      <alignment horizontal="center"/>
    </xf>
    <xf numFmtId="0" fontId="9" fillId="0" borderId="0" xfId="21" applyFont="1"/>
    <xf numFmtId="0" fontId="28" fillId="0" borderId="0" xfId="21" applyFont="1" applyAlignment="1">
      <alignment horizontal="left"/>
    </xf>
    <xf numFmtId="0" fontId="64" fillId="0" borderId="40" xfId="21" applyFont="1" applyBorder="1" applyProtection="1">
      <protection locked="0"/>
    </xf>
    <xf numFmtId="0" fontId="64" fillId="0" borderId="53" xfId="21" applyFont="1" applyBorder="1" applyProtection="1">
      <protection locked="0"/>
    </xf>
    <xf numFmtId="0" fontId="65" fillId="0" borderId="0" xfId="21" applyFont="1"/>
    <xf numFmtId="168" fontId="9" fillId="0" borderId="0" xfId="21" applyNumberFormat="1" applyFont="1"/>
    <xf numFmtId="164" fontId="9" fillId="0" borderId="0" xfId="21" applyNumberFormat="1" applyFont="1"/>
    <xf numFmtId="2" fontId="9" fillId="0" borderId="0" xfId="21" applyNumberFormat="1" applyFont="1"/>
    <xf numFmtId="0" fontId="10" fillId="0" borderId="0" xfId="21" applyFont="1" applyProtection="1">
      <protection locked="0"/>
    </xf>
    <xf numFmtId="1" fontId="5" fillId="2" borderId="8" xfId="4" applyNumberFormat="1" applyFill="1" applyBorder="1" applyAlignment="1" applyProtection="1">
      <alignment horizontal="center" vertical="center"/>
      <protection hidden="1"/>
    </xf>
    <xf numFmtId="0" fontId="66" fillId="0" borderId="0" xfId="21" applyFont="1" applyAlignment="1">
      <alignment horizontal="left"/>
    </xf>
    <xf numFmtId="0" fontId="40" fillId="0" borderId="0" xfId="21" applyFont="1" applyAlignment="1">
      <alignment horizontal="left"/>
    </xf>
    <xf numFmtId="0" fontId="28" fillId="7" borderId="0" xfId="21" applyFont="1" applyFill="1"/>
    <xf numFmtId="0" fontId="39" fillId="7" borderId="0" xfId="21" applyFont="1" applyFill="1"/>
    <xf numFmtId="0" fontId="9" fillId="0" borderId="0" xfId="0" applyFont="1" applyBorder="1" applyAlignment="1" applyProtection="1">
      <alignment horizontal="center" vertical="center"/>
    </xf>
    <xf numFmtId="0" fontId="9" fillId="5" borderId="0" xfId="8" applyNumberFormat="1" applyFont="1" applyFill="1" applyAlignment="1" applyProtection="1">
      <alignment horizontal="center" vertical="center"/>
      <protection locked="0"/>
    </xf>
    <xf numFmtId="0" fontId="5" fillId="0" borderId="0" xfId="10" applyFill="1" applyAlignment="1" applyProtection="1">
      <alignment horizontal="center" vertical="center"/>
    </xf>
    <xf numFmtId="0" fontId="9" fillId="0" borderId="0" xfId="10" applyFont="1" applyFill="1" applyAlignment="1" applyProtection="1">
      <alignment horizontal="center" vertical="center"/>
    </xf>
    <xf numFmtId="0" fontId="9" fillId="0" borderId="0" xfId="8" applyFont="1" applyAlignment="1" applyProtection="1">
      <alignment horizontal="center" vertical="center"/>
    </xf>
    <xf numFmtId="0" fontId="9" fillId="5" borderId="0" xfId="8" applyFont="1" applyFill="1" applyAlignment="1" applyProtection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10" applyFont="1" applyBorder="1" applyAlignment="1">
      <alignment horizontal="center" vertical="center"/>
    </xf>
    <xf numFmtId="0" fontId="9" fillId="0" borderId="0" xfId="8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8" applyFont="1" applyAlignment="1" applyProtection="1">
      <alignment horizontal="center" vertical="center"/>
      <protection locked="0"/>
    </xf>
    <xf numFmtId="0" fontId="9" fillId="0" borderId="0" xfId="2" applyFont="1" applyFill="1" applyAlignment="1">
      <alignment horizontal="center" vertical="center"/>
    </xf>
    <xf numFmtId="0" fontId="9" fillId="0" borderId="0" xfId="9" applyNumberFormat="1" applyFont="1" applyFill="1" applyAlignment="1" applyProtection="1">
      <alignment horizontal="center" vertical="center"/>
      <protection locked="0"/>
    </xf>
    <xf numFmtId="0" fontId="9" fillId="0" borderId="0" xfId="8" applyFont="1" applyBorder="1" applyAlignment="1" applyProtection="1">
      <alignment horizontal="center" vertical="center"/>
      <protection locked="0"/>
    </xf>
    <xf numFmtId="0" fontId="25" fillId="0" borderId="0" xfId="8" applyAlignment="1" applyProtection="1">
      <alignment horizontal="center" vertical="center"/>
      <protection locked="0"/>
    </xf>
    <xf numFmtId="0" fontId="5" fillId="0" borderId="10" xfId="4" applyFont="1" applyBorder="1" applyAlignment="1" applyProtection="1">
      <alignment horizontal="center" vertical="center"/>
      <protection hidden="1"/>
    </xf>
    <xf numFmtId="0" fontId="5" fillId="0" borderId="10" xfId="4" applyBorder="1" applyAlignment="1" applyProtection="1">
      <alignment horizontal="center" vertical="center"/>
      <protection hidden="1"/>
    </xf>
    <xf numFmtId="0" fontId="5" fillId="0" borderId="13" xfId="4" applyBorder="1" applyAlignment="1" applyProtection="1">
      <alignment horizontal="center" vertical="center"/>
      <protection hidden="1"/>
    </xf>
    <xf numFmtId="0" fontId="9" fillId="8" borderId="0" xfId="0" applyNumberFormat="1" applyFont="1" applyFill="1" applyBorder="1" applyAlignment="1" applyProtection="1">
      <alignment horizontal="center" vertical="center"/>
    </xf>
    <xf numFmtId="0" fontId="9" fillId="8" borderId="0" xfId="2" applyNumberFormat="1" applyFont="1" applyFill="1" applyAlignment="1" applyProtection="1">
      <alignment horizontal="center" vertical="center"/>
    </xf>
    <xf numFmtId="0" fontId="9" fillId="8" borderId="0" xfId="9" applyNumberFormat="1" applyFont="1" applyFill="1" applyAlignment="1" applyProtection="1">
      <alignment horizontal="center" vertical="center"/>
    </xf>
    <xf numFmtId="0" fontId="33" fillId="0" borderId="38" xfId="2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</xf>
    <xf numFmtId="0" fontId="9" fillId="0" borderId="33" xfId="0" applyFont="1" applyBorder="1" applyAlignment="1" applyProtection="1">
      <alignment horizontal="center" vertical="center"/>
    </xf>
    <xf numFmtId="0" fontId="9" fillId="0" borderId="34" xfId="0" applyFont="1" applyBorder="1" applyAlignment="1" applyProtection="1">
      <alignment horizontal="center" vertical="center"/>
    </xf>
    <xf numFmtId="0" fontId="38" fillId="0" borderId="33" xfId="0" applyFont="1" applyBorder="1" applyAlignment="1" applyProtection="1">
      <alignment horizontal="center" vertical="center"/>
    </xf>
    <xf numFmtId="0" fontId="38" fillId="0" borderId="0" xfId="0" applyFont="1" applyBorder="1" applyAlignment="1" applyProtection="1">
      <alignment horizontal="center" vertical="center"/>
    </xf>
    <xf numFmtId="0" fontId="38" fillId="0" borderId="34" xfId="0" applyFont="1" applyBorder="1" applyAlignment="1" applyProtection="1">
      <alignment horizontal="center" vertical="center"/>
    </xf>
    <xf numFmtId="0" fontId="36" fillId="0" borderId="33" xfId="0" applyFont="1" applyBorder="1" applyAlignment="1" applyProtection="1">
      <alignment horizontal="center" vertical="center"/>
    </xf>
    <xf numFmtId="0" fontId="36" fillId="0" borderId="0" xfId="0" applyFont="1" applyBorder="1" applyAlignment="1" applyProtection="1">
      <alignment horizontal="center" vertical="center"/>
    </xf>
    <xf numFmtId="0" fontId="36" fillId="0" borderId="34" xfId="0" applyFont="1" applyBorder="1" applyAlignment="1" applyProtection="1">
      <alignment horizontal="center" vertical="center"/>
    </xf>
    <xf numFmtId="0" fontId="39" fillId="0" borderId="33" xfId="0" applyFont="1" applyBorder="1" applyAlignment="1" applyProtection="1">
      <alignment horizontal="center" vertical="center"/>
    </xf>
    <xf numFmtId="0" fontId="54" fillId="0" borderId="0" xfId="0" applyFont="1" applyBorder="1" applyAlignment="1" applyProtection="1">
      <alignment horizontal="center" vertical="center"/>
    </xf>
    <xf numFmtId="0" fontId="54" fillId="0" borderId="34" xfId="0" applyFont="1" applyBorder="1" applyAlignment="1" applyProtection="1">
      <alignment horizontal="center" vertical="center"/>
    </xf>
    <xf numFmtId="0" fontId="39" fillId="0" borderId="0" xfId="0" applyFont="1" applyBorder="1" applyAlignment="1" applyProtection="1">
      <alignment horizontal="center" vertical="center"/>
    </xf>
    <xf numFmtId="0" fontId="39" fillId="0" borderId="34" xfId="0" applyFont="1" applyBorder="1" applyAlignment="1" applyProtection="1">
      <alignment horizontal="center" vertical="center"/>
    </xf>
    <xf numFmtId="0" fontId="9" fillId="2" borderId="43" xfId="11" applyFont="1" applyFill="1" applyBorder="1" applyAlignment="1" applyProtection="1">
      <alignment horizontal="left" vertical="center"/>
      <protection hidden="1"/>
    </xf>
    <xf numFmtId="0" fontId="9" fillId="2" borderId="40" xfId="11" applyFont="1" applyFill="1" applyBorder="1" applyAlignment="1" applyProtection="1">
      <alignment horizontal="left" vertical="center"/>
      <protection hidden="1"/>
    </xf>
    <xf numFmtId="164" fontId="6" fillId="2" borderId="44" xfId="11" applyNumberFormat="1" applyFill="1" applyBorder="1" applyAlignment="1" applyProtection="1">
      <alignment horizontal="left" vertical="center"/>
      <protection hidden="1"/>
    </xf>
    <xf numFmtId="164" fontId="6" fillId="2" borderId="43" xfId="11" applyNumberFormat="1" applyFill="1" applyBorder="1" applyAlignment="1" applyProtection="1">
      <alignment horizontal="left" vertical="center"/>
      <protection hidden="1"/>
    </xf>
    <xf numFmtId="164" fontId="6" fillId="2" borderId="40" xfId="11" applyNumberFormat="1" applyFill="1" applyBorder="1" applyAlignment="1" applyProtection="1">
      <alignment horizontal="left" vertical="center"/>
      <protection hidden="1"/>
    </xf>
    <xf numFmtId="0" fontId="5" fillId="2" borderId="44" xfId="11" applyFont="1" applyFill="1" applyBorder="1" applyAlignment="1" applyProtection="1">
      <alignment horizontal="left" vertical="center"/>
      <protection hidden="1"/>
    </xf>
    <xf numFmtId="0" fontId="5" fillId="2" borderId="43" xfId="11" applyFont="1" applyFill="1" applyBorder="1" applyAlignment="1" applyProtection="1">
      <alignment horizontal="left" vertical="center"/>
      <protection hidden="1"/>
    </xf>
    <xf numFmtId="0" fontId="5" fillId="2" borderId="40" xfId="11" applyFont="1" applyFill="1" applyBorder="1" applyAlignment="1" applyProtection="1">
      <alignment horizontal="left" vertical="center"/>
      <protection hidden="1"/>
    </xf>
    <xf numFmtId="0" fontId="9" fillId="2" borderId="44" xfId="11" applyFont="1" applyFill="1" applyBorder="1" applyAlignment="1" applyProtection="1">
      <alignment horizontal="left" vertical="center"/>
      <protection hidden="1"/>
    </xf>
    <xf numFmtId="0" fontId="5" fillId="0" borderId="41" xfId="5" applyFont="1" applyBorder="1" applyAlignment="1" applyProtection="1">
      <alignment horizontal="center" vertical="center"/>
      <protection hidden="1"/>
    </xf>
    <xf numFmtId="0" fontId="5" fillId="0" borderId="40" xfId="5" applyFont="1" applyBorder="1" applyAlignment="1" applyProtection="1">
      <alignment horizontal="center" vertical="center"/>
      <protection hidden="1"/>
    </xf>
    <xf numFmtId="0" fontId="9" fillId="0" borderId="1" xfId="11" applyFont="1" applyFill="1" applyBorder="1" applyAlignment="1" applyProtection="1">
      <alignment horizontal="center" vertical="center"/>
      <protection hidden="1"/>
    </xf>
    <xf numFmtId="0" fontId="9" fillId="0" borderId="15" xfId="11" applyFont="1" applyFill="1" applyBorder="1" applyAlignment="1" applyProtection="1">
      <alignment horizontal="center" vertical="center"/>
      <protection hidden="1"/>
    </xf>
    <xf numFmtId="0" fontId="5" fillId="0" borderId="10" xfId="4" applyFont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5" fillId="0" borderId="30" xfId="4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horizontal="center" vertical="center"/>
      <protection hidden="1"/>
    </xf>
    <xf numFmtId="0" fontId="5" fillId="0" borderId="13" xfId="4" applyFont="1" applyBorder="1" applyAlignment="1" applyProtection="1">
      <alignment horizontal="center" vertical="center"/>
      <protection hidden="1"/>
    </xf>
    <xf numFmtId="0" fontId="5" fillId="0" borderId="10" xfId="4" applyBorder="1" applyAlignment="1" applyProtection="1">
      <alignment horizontal="center" vertical="center"/>
      <protection hidden="1"/>
    </xf>
    <xf numFmtId="0" fontId="22" fillId="0" borderId="7" xfId="4" applyNumberFormat="1" applyFont="1" applyFill="1" applyBorder="1" applyAlignment="1" applyProtection="1">
      <alignment horizontal="center" vertical="center"/>
      <protection locked="0" hidden="1"/>
    </xf>
    <xf numFmtId="0" fontId="22" fillId="0" borderId="8" xfId="4" applyNumberFormat="1" applyFont="1" applyFill="1" applyBorder="1" applyAlignment="1" applyProtection="1">
      <alignment horizontal="center" vertical="center"/>
      <protection locked="0" hidden="1"/>
    </xf>
    <xf numFmtId="0" fontId="5" fillId="0" borderId="13" xfId="4" applyBorder="1" applyAlignment="1" applyProtection="1">
      <alignment horizontal="center" vertical="center"/>
      <protection hidden="1"/>
    </xf>
    <xf numFmtId="0" fontId="5" fillId="0" borderId="33" xfId="4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center" vertical="center"/>
      <protection hidden="1"/>
    </xf>
    <xf numFmtId="0" fontId="5" fillId="0" borderId="0" xfId="4" applyFont="1" applyBorder="1" applyAlignment="1" applyProtection="1">
      <alignment horizontal="center" vertical="center"/>
      <protection hidden="1"/>
    </xf>
    <xf numFmtId="0" fontId="5" fillId="0" borderId="1" xfId="4" applyFill="1" applyBorder="1" applyAlignment="1" applyProtection="1">
      <alignment horizontal="center" vertical="center"/>
      <protection hidden="1"/>
    </xf>
    <xf numFmtId="0" fontId="5" fillId="0" borderId="23" xfId="4" applyFill="1" applyBorder="1" applyAlignment="1" applyProtection="1">
      <alignment horizontal="center" vertical="center"/>
      <protection hidden="1"/>
    </xf>
    <xf numFmtId="0" fontId="6" fillId="0" borderId="0" xfId="4" applyFont="1" applyFill="1" applyBorder="1" applyAlignment="1" applyProtection="1">
      <alignment horizontal="center" vertical="center"/>
      <protection hidden="1"/>
    </xf>
    <xf numFmtId="0" fontId="9" fillId="0" borderId="0" xfId="21" applyFont="1" applyAlignment="1">
      <alignment horizontal="left"/>
    </xf>
    <xf numFmtId="0" fontId="9" fillId="0" borderId="1" xfId="21" applyFont="1" applyBorder="1" applyAlignment="1">
      <alignment horizontal="center"/>
    </xf>
    <xf numFmtId="0" fontId="9" fillId="0" borderId="23" xfId="21" applyFont="1" applyBorder="1" applyAlignment="1">
      <alignment horizontal="center"/>
    </xf>
  </cellXfs>
  <cellStyles count="23">
    <cellStyle name="čárky se čtyřmii desetinými místy" xfId="1"/>
    <cellStyle name="Normální" xfId="0" builtinId="0"/>
    <cellStyle name="Normální 10" xfId="16"/>
    <cellStyle name="Normální 11" xfId="21"/>
    <cellStyle name="Normální 12" xfId="22"/>
    <cellStyle name="normální 2" xfId="2"/>
    <cellStyle name="normální 2 2" xfId="17"/>
    <cellStyle name="Normální 3" xfId="12"/>
    <cellStyle name="Normální 4" xfId="13"/>
    <cellStyle name="Normální 5" xfId="18"/>
    <cellStyle name="Normální 6" xfId="19"/>
    <cellStyle name="Normální 7" xfId="20"/>
    <cellStyle name="Normální 8" xfId="14"/>
    <cellStyle name="Normální 9" xfId="15"/>
    <cellStyle name="normální_data" xfId="3"/>
    <cellStyle name="normální_IN-zápočtová práce I-2006-data" xfId="4"/>
    <cellStyle name="normální_Konstrukce intervalů" xfId="5"/>
    <cellStyle name="normální_kvantily" xfId="6"/>
    <cellStyle name="normální_Matice EO1" xfId="7"/>
    <cellStyle name="normální_Sbirka " xfId="8"/>
    <cellStyle name="normální_Sbirka  2" xfId="9"/>
    <cellStyle name="normální_Sbírka úloh-data" xfId="10"/>
    <cellStyle name="normální_Statvyp" xfId="11"/>
  </cellStyles>
  <dxfs count="7">
    <dxf>
      <font>
        <condense val="0"/>
        <extend val="0"/>
        <color indexed="39"/>
      </font>
    </dxf>
    <dxf>
      <font>
        <condense val="0"/>
        <extend val="0"/>
        <color indexed="10"/>
      </font>
    </dxf>
    <dxf>
      <fill>
        <patternFill>
          <bgColor rgb="FFCCFF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fill>
        <patternFill>
          <bgColor rgb="FFCCFFCC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Box plot</a:t>
            </a:r>
          </a:p>
        </c:rich>
      </c:tx>
      <c:layout>
        <c:manualLayout>
          <c:xMode val="edge"/>
          <c:yMode val="edge"/>
          <c:x val="0.44645205021542117"/>
          <c:y val="3.1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61384219016131E-2"/>
          <c:y val="0.15296061844712416"/>
          <c:w val="0.89290421029635081"/>
          <c:h val="0.79440837322538682"/>
        </c:manualLayout>
      </c:layout>
      <c:scatterChart>
        <c:scatterStyle val="lineMarker"/>
        <c:varyColors val="0"/>
        <c:ser>
          <c:idx val="0"/>
          <c:order val="0"/>
          <c:tx>
            <c:v>min</c:v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pomocny!$K$37:$K$38</c:f>
              <c:numCache>
                <c:formatCode>General</c:formatCode>
                <c:ptCount val="2"/>
                <c:pt idx="0">
                  <c:v>14.68</c:v>
                </c:pt>
                <c:pt idx="1">
                  <c:v>14.68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DB8-401B-AD8B-B72F7E2C24F3}"/>
            </c:ext>
          </c:extLst>
        </c:ser>
        <c:ser>
          <c:idx val="1"/>
          <c:order val="1"/>
          <c:tx>
            <c:v>max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pomocny!$L$37:$L$38</c:f>
              <c:numCache>
                <c:formatCode>General</c:formatCode>
                <c:ptCount val="2"/>
                <c:pt idx="0">
                  <c:v>15.49</c:v>
                </c:pt>
                <c:pt idx="1">
                  <c:v>15.49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DB8-401B-AD8B-B72F7E2C24F3}"/>
            </c:ext>
          </c:extLst>
        </c:ser>
        <c:ser>
          <c:idx val="2"/>
          <c:order val="2"/>
          <c:tx>
            <c:v>x0.25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pomocny!$K$40:$K$41</c:f>
              <c:numCache>
                <c:formatCode>General</c:formatCode>
                <c:ptCount val="2"/>
                <c:pt idx="0">
                  <c:v>14.83</c:v>
                </c:pt>
                <c:pt idx="1">
                  <c:v>14.83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B8-401B-AD8B-B72F7E2C24F3}"/>
            </c:ext>
          </c:extLst>
        </c:ser>
        <c:ser>
          <c:idx val="3"/>
          <c:order val="3"/>
          <c:tx>
            <c:v>x0.50</c:v>
          </c:tx>
          <c:spPr>
            <a:ln w="19050" cap="flat" cmpd="sng" algn="ctr">
              <a:solidFill>
                <a:schemeClr val="tx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pomocny!$L$40:$L$41</c:f>
              <c:numCache>
                <c:formatCode>General</c:formatCode>
                <c:ptCount val="2"/>
                <c:pt idx="0">
                  <c:v>14.95</c:v>
                </c:pt>
                <c:pt idx="1">
                  <c:v>14.95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DB8-401B-AD8B-B72F7E2C24F3}"/>
            </c:ext>
          </c:extLst>
        </c:ser>
        <c:ser>
          <c:idx val="4"/>
          <c:order val="4"/>
          <c:tx>
            <c:v>x0.75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pomocny!$M$40:$M$41</c:f>
              <c:numCache>
                <c:formatCode>General</c:formatCode>
                <c:ptCount val="2"/>
                <c:pt idx="0">
                  <c:v>15.074999999999999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DB8-401B-AD8B-B72F7E2C24F3}"/>
            </c:ext>
          </c:extLst>
        </c:ser>
        <c:ser>
          <c:idx val="5"/>
          <c:order val="5"/>
          <c:tx>
            <c:v>cara1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pomocny!$O$37:$O$38</c:f>
              <c:numCache>
                <c:formatCode>General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pomocny!$P$37:$P$38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DB8-401B-AD8B-B72F7E2C24F3}"/>
            </c:ext>
          </c:extLst>
        </c:ser>
        <c:ser>
          <c:idx val="6"/>
          <c:order val="6"/>
          <c:tx>
            <c:strRef>
              <c:f>pomocny!$O$40:$O$41</c:f>
              <c:strCache>
                <c:ptCount val="2"/>
                <c:pt idx="0">
                  <c:v>0,75</c:v>
                </c:pt>
                <c:pt idx="1">
                  <c:v>0,75</c:v>
                </c:pt>
              </c:strCache>
            </c:strRef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pomocny!$O$40:$O$41</c:f>
              <c:numCache>
                <c:formatCode>General</c:formatCode>
                <c:ptCount val="2"/>
                <c:pt idx="0">
                  <c:v>0.75</c:v>
                </c:pt>
                <c:pt idx="1">
                  <c:v>0.75</c:v>
                </c:pt>
              </c:numCache>
            </c:numRef>
          </c:xVal>
          <c:yVal>
            <c:numRef>
              <c:f>pomocny!$P$40:$P$41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DB8-401B-AD8B-B72F7E2C24F3}"/>
            </c:ext>
          </c:extLst>
        </c:ser>
        <c:ser>
          <c:idx val="7"/>
          <c:order val="7"/>
          <c:tx>
            <c:v>cara3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pomocny!$S$37:$S$38</c:f>
              <c:numCache>
                <c:formatCode>General</c:formatCode>
                <c:ptCount val="2"/>
                <c:pt idx="0">
                  <c:v>15.49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DB8-401B-AD8B-B72F7E2C24F3}"/>
            </c:ext>
          </c:extLst>
        </c:ser>
        <c:ser>
          <c:idx val="8"/>
          <c:order val="8"/>
          <c:tx>
            <c:v>cara4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pomocny!$T$37:$T$38</c:f>
              <c:numCache>
                <c:formatCode>General</c:formatCode>
                <c:ptCount val="2"/>
                <c:pt idx="0">
                  <c:v>14.68</c:v>
                </c:pt>
                <c:pt idx="1">
                  <c:v>14.83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FDB8-401B-AD8B-B72F7E2C24F3}"/>
            </c:ext>
          </c:extLst>
        </c:ser>
        <c:ser>
          <c:idx val="9"/>
          <c:order val="9"/>
          <c:tx>
            <c:v>prumer</c:v>
          </c:tx>
          <c:spPr>
            <a:ln w="19050" cap="rnd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pomocny!$N$40:$N$41</c:f>
              <c:numCache>
                <c:formatCode>General</c:formatCode>
                <c:ptCount val="2"/>
                <c:pt idx="0">
                  <c:v>14.979999999999999</c:v>
                </c:pt>
                <c:pt idx="1">
                  <c:v>14.979999999999999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FDB8-401B-AD8B-B72F7E2C2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024088"/>
        <c:axId val="512024872"/>
      </c:scatterChart>
      <c:valAx>
        <c:axId val="512024088"/>
        <c:scaling>
          <c:orientation val="minMax"/>
          <c:max val="1"/>
        </c:scaling>
        <c:delete val="1"/>
        <c:axPos val="b"/>
        <c:numFmt formatCode="General" sourceLinked="1"/>
        <c:majorTickMark val="out"/>
        <c:minorTickMark val="none"/>
        <c:tickLblPos val="nextTo"/>
        <c:crossAx val="512024872"/>
        <c:crosses val="autoZero"/>
        <c:crossBetween val="midCat"/>
      </c:valAx>
      <c:valAx>
        <c:axId val="5120248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512024088"/>
        <c:crosses val="autoZero"/>
        <c:crossBetween val="midCat"/>
      </c:valAx>
      <c:spPr>
        <a:noFill/>
        <a:ln w="12700">
          <a:solidFill>
            <a:sysClr val="windowText" lastClr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Q-Qplot</a:t>
            </a:r>
          </a:p>
        </c:rich>
      </c:tx>
      <c:layout>
        <c:manualLayout>
          <c:xMode val="edge"/>
          <c:yMode val="edge"/>
          <c:x val="0.44833499494733703"/>
          <c:y val="3.45583691887326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274100067288736E-2"/>
          <c:y val="0.18791072076124643"/>
          <c:w val="0.8708294461417061"/>
          <c:h val="0.6220492825199880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pomocny!$H$15:$H$33</c:f>
              <c:numCache>
                <c:formatCode>General</c:formatCode>
                <c:ptCount val="19"/>
                <c:pt idx="0">
                  <c:v>-1.6448536269514726</c:v>
                </c:pt>
                <c:pt idx="1">
                  <c:v>-1.2815515655446006</c:v>
                </c:pt>
                <c:pt idx="2">
                  <c:v>-1.0364333894937898</c:v>
                </c:pt>
                <c:pt idx="3">
                  <c:v>-0.84162123357291452</c:v>
                </c:pt>
                <c:pt idx="4">
                  <c:v>-0.67448975019608193</c:v>
                </c:pt>
                <c:pt idx="5">
                  <c:v>-0.52440051270804089</c:v>
                </c:pt>
                <c:pt idx="6">
                  <c:v>-0.38532046640756784</c:v>
                </c:pt>
                <c:pt idx="7">
                  <c:v>-0.25334710313579978</c:v>
                </c:pt>
                <c:pt idx="8">
                  <c:v>-0.12566134685507402</c:v>
                </c:pt>
                <c:pt idx="9">
                  <c:v>0</c:v>
                </c:pt>
                <c:pt idx="10">
                  <c:v>0.12566134685507416</c:v>
                </c:pt>
                <c:pt idx="11">
                  <c:v>0.25334710313579978</c:v>
                </c:pt>
                <c:pt idx="12">
                  <c:v>0.38532046640756784</c:v>
                </c:pt>
                <c:pt idx="13">
                  <c:v>0.52440051270804078</c:v>
                </c:pt>
                <c:pt idx="14">
                  <c:v>0.67448975019608193</c:v>
                </c:pt>
                <c:pt idx="15">
                  <c:v>0.84162123357291474</c:v>
                </c:pt>
                <c:pt idx="16">
                  <c:v>1.0364333894937898</c:v>
                </c:pt>
                <c:pt idx="17">
                  <c:v>1.2815515655446006</c:v>
                </c:pt>
                <c:pt idx="18">
                  <c:v>1.6448536269514715</c:v>
                </c:pt>
              </c:numCache>
            </c:numRef>
          </c:xVal>
          <c:yVal>
            <c:numRef>
              <c:f>pomocny!$I$15:$I$33</c:f>
              <c:numCache>
                <c:formatCode>General</c:formatCode>
                <c:ptCount val="19"/>
                <c:pt idx="0">
                  <c:v>14.743</c:v>
                </c:pt>
                <c:pt idx="1">
                  <c:v>14.773999999999999</c:v>
                </c:pt>
                <c:pt idx="2">
                  <c:v>14.785</c:v>
                </c:pt>
                <c:pt idx="3">
                  <c:v>14.82</c:v>
                </c:pt>
                <c:pt idx="4">
                  <c:v>14.83</c:v>
                </c:pt>
                <c:pt idx="5">
                  <c:v>14.834</c:v>
                </c:pt>
                <c:pt idx="6">
                  <c:v>14.847999999999999</c:v>
                </c:pt>
                <c:pt idx="7">
                  <c:v>14.91</c:v>
                </c:pt>
                <c:pt idx="8">
                  <c:v>14.95</c:v>
                </c:pt>
                <c:pt idx="9">
                  <c:v>14.95</c:v>
                </c:pt>
                <c:pt idx="10">
                  <c:v>14.971</c:v>
                </c:pt>
                <c:pt idx="11">
                  <c:v>14.996</c:v>
                </c:pt>
                <c:pt idx="12">
                  <c:v>15.025</c:v>
                </c:pt>
                <c:pt idx="13">
                  <c:v>15.06</c:v>
                </c:pt>
                <c:pt idx="14">
                  <c:v>15.074999999999999</c:v>
                </c:pt>
                <c:pt idx="15">
                  <c:v>15.093999999999999</c:v>
                </c:pt>
                <c:pt idx="16">
                  <c:v>15.143000000000001</c:v>
                </c:pt>
                <c:pt idx="17">
                  <c:v>15.222</c:v>
                </c:pt>
                <c:pt idx="18">
                  <c:v>15.336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09C-45C6-9CE6-F313E82484EA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forward val="1"/>
            <c:backward val="1"/>
            <c:dispRSqr val="0"/>
            <c:dispEq val="0"/>
          </c:trendline>
          <c:xVal>
            <c:numRef>
              <c:f>pomocny!$K$17:$K$18</c:f>
              <c:numCache>
                <c:formatCode>General</c:formatCode>
                <c:ptCount val="2"/>
                <c:pt idx="0">
                  <c:v>-0.67448975019608193</c:v>
                </c:pt>
                <c:pt idx="1">
                  <c:v>0.67448975019608193</c:v>
                </c:pt>
              </c:numCache>
            </c:numRef>
          </c:xVal>
          <c:yVal>
            <c:numRef>
              <c:f>pomocny!$L$17:$L$18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09C-45C6-9CE6-F313E8248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314944"/>
        <c:axId val="450314552"/>
      </c:scatterChart>
      <c:valAx>
        <c:axId val="450314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/>
                  <a:t>kvantily N(0,1)</a:t>
                </a:r>
              </a:p>
            </c:rich>
          </c:tx>
          <c:layout>
            <c:manualLayout>
              <c:xMode val="edge"/>
              <c:yMode val="edge"/>
              <c:x val="0.44445902595508896"/>
              <c:y val="0.896355787599984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450314552"/>
        <c:crossesAt val="0"/>
        <c:crossBetween val="midCat"/>
      </c:valAx>
      <c:valAx>
        <c:axId val="4503145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/>
                  <a:t>empirické kvantily</a:t>
                </a:r>
              </a:p>
            </c:rich>
          </c:tx>
          <c:layout>
            <c:manualLayout>
              <c:xMode val="edge"/>
              <c:yMode val="edge"/>
              <c:x val="2.4548651379817831E-2"/>
              <c:y val="0.3412631871340056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450314944"/>
        <c:crosses val="autoZero"/>
        <c:crossBetween val="midCat"/>
      </c:valAx>
      <c:spPr>
        <a:noFill/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Box plot</a:t>
            </a:r>
          </a:p>
        </c:rich>
      </c:tx>
      <c:layout>
        <c:manualLayout>
          <c:xMode val="edge"/>
          <c:yMode val="edge"/>
          <c:x val="0.44645216183015485"/>
          <c:y val="3.1249964722151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61384219016131E-2"/>
          <c:y val="0.15296061844712416"/>
          <c:w val="0.89290421029635081"/>
          <c:h val="0.79440837322538682"/>
        </c:manualLayout>
      </c:layout>
      <c:scatterChart>
        <c:scatterStyle val="lineMarker"/>
        <c:varyColors val="0"/>
        <c:ser>
          <c:idx val="0"/>
          <c:order val="0"/>
          <c:tx>
            <c:v>min</c:v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pomocny!$K$37:$K$38</c:f>
              <c:numCache>
                <c:formatCode>General</c:formatCode>
                <c:ptCount val="2"/>
                <c:pt idx="0">
                  <c:v>14.68</c:v>
                </c:pt>
                <c:pt idx="1">
                  <c:v>14.68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A94-4427-AA0F-1760A5E7EB73}"/>
            </c:ext>
          </c:extLst>
        </c:ser>
        <c:ser>
          <c:idx val="1"/>
          <c:order val="1"/>
          <c:tx>
            <c:v>max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pomocny!$J$37:$J$38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xVal>
          <c:yVal>
            <c:numRef>
              <c:f>pomocny!$L$37:$L$38</c:f>
              <c:numCache>
                <c:formatCode>General</c:formatCode>
                <c:ptCount val="2"/>
                <c:pt idx="0">
                  <c:v>15.49</c:v>
                </c:pt>
                <c:pt idx="1">
                  <c:v>15.49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A94-4427-AA0F-1760A5E7EB73}"/>
            </c:ext>
          </c:extLst>
        </c:ser>
        <c:ser>
          <c:idx val="2"/>
          <c:order val="2"/>
          <c:tx>
            <c:v>x0.25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pomocny!$K$40:$K$41</c:f>
              <c:numCache>
                <c:formatCode>General</c:formatCode>
                <c:ptCount val="2"/>
                <c:pt idx="0">
                  <c:v>14.83</c:v>
                </c:pt>
                <c:pt idx="1">
                  <c:v>14.83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94-4427-AA0F-1760A5E7EB73}"/>
            </c:ext>
          </c:extLst>
        </c:ser>
        <c:ser>
          <c:idx val="3"/>
          <c:order val="3"/>
          <c:tx>
            <c:v>x0.50</c:v>
          </c:tx>
          <c:spPr>
            <a:ln w="19050" cap="flat" cmpd="sng" algn="ctr">
              <a:solidFill>
                <a:schemeClr val="tx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pomocny!$L$40:$L$41</c:f>
              <c:numCache>
                <c:formatCode>General</c:formatCode>
                <c:ptCount val="2"/>
                <c:pt idx="0">
                  <c:v>14.95</c:v>
                </c:pt>
                <c:pt idx="1">
                  <c:v>14.95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A94-4427-AA0F-1760A5E7EB73}"/>
            </c:ext>
          </c:extLst>
        </c:ser>
        <c:ser>
          <c:idx val="4"/>
          <c:order val="4"/>
          <c:tx>
            <c:v>x0.75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pomocny!$M$40:$M$41</c:f>
              <c:numCache>
                <c:formatCode>General</c:formatCode>
                <c:ptCount val="2"/>
                <c:pt idx="0">
                  <c:v>15.074999999999999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A94-4427-AA0F-1760A5E7EB73}"/>
            </c:ext>
          </c:extLst>
        </c:ser>
        <c:ser>
          <c:idx val="5"/>
          <c:order val="5"/>
          <c:tx>
            <c:v>cara1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pomocny!$O$37:$O$38</c:f>
              <c:numCache>
                <c:formatCode>General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pomocny!$P$37:$P$38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A94-4427-AA0F-1760A5E7EB73}"/>
            </c:ext>
          </c:extLst>
        </c:ser>
        <c:ser>
          <c:idx val="6"/>
          <c:order val="6"/>
          <c:tx>
            <c:strRef>
              <c:f>pomocny!$O$40:$O$41</c:f>
              <c:strCache>
                <c:ptCount val="2"/>
                <c:pt idx="0">
                  <c:v>0,75</c:v>
                </c:pt>
                <c:pt idx="1">
                  <c:v>0,75</c:v>
                </c:pt>
              </c:strCache>
            </c:strRef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pomocny!$O$40:$O$41</c:f>
              <c:numCache>
                <c:formatCode>General</c:formatCode>
                <c:ptCount val="2"/>
                <c:pt idx="0">
                  <c:v>0.75</c:v>
                </c:pt>
                <c:pt idx="1">
                  <c:v>0.75</c:v>
                </c:pt>
              </c:numCache>
            </c:numRef>
          </c:xVal>
          <c:yVal>
            <c:numRef>
              <c:f>pomocny!$P$40:$P$41</c:f>
              <c:numCache>
                <c:formatCode>General</c:formatCode>
                <c:ptCount val="2"/>
                <c:pt idx="0">
                  <c:v>14.83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A94-4427-AA0F-1760A5E7EB73}"/>
            </c:ext>
          </c:extLst>
        </c:ser>
        <c:ser>
          <c:idx val="7"/>
          <c:order val="7"/>
          <c:tx>
            <c:v>cara3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pomocny!$S$37:$S$38</c:f>
              <c:numCache>
                <c:formatCode>General</c:formatCode>
                <c:ptCount val="2"/>
                <c:pt idx="0">
                  <c:v>15.49</c:v>
                </c:pt>
                <c:pt idx="1">
                  <c:v>15.074999999999999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94-4427-AA0F-1760A5E7EB73}"/>
            </c:ext>
          </c:extLst>
        </c:ser>
        <c:ser>
          <c:idx val="8"/>
          <c:order val="8"/>
          <c:tx>
            <c:v>cara4</c:v>
          </c:tx>
          <c:spPr>
            <a:ln w="19050" cap="flat" cmpd="sng" algn="ctr">
              <a:solidFill>
                <a:schemeClr val="dk1"/>
              </a:solidFill>
              <a:prstDash val="solid"/>
            </a:ln>
            <a:effectLst/>
          </c:spPr>
          <c:marker>
            <c:symbol val="none"/>
          </c:marker>
          <c:xVal>
            <c:numRef>
              <c:f>pomocny!$R$37:$R$38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pomocny!$T$37:$T$38</c:f>
              <c:numCache>
                <c:formatCode>General</c:formatCode>
                <c:ptCount val="2"/>
                <c:pt idx="0">
                  <c:v>14.68</c:v>
                </c:pt>
                <c:pt idx="1">
                  <c:v>14.83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CA94-4427-AA0F-1760A5E7EB73}"/>
            </c:ext>
          </c:extLst>
        </c:ser>
        <c:ser>
          <c:idx val="9"/>
          <c:order val="9"/>
          <c:tx>
            <c:v>prumer</c:v>
          </c:tx>
          <c:spPr>
            <a:ln w="19050" cap="rnd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pomocny!$J$40:$J$41</c:f>
              <c:numCache>
                <c:formatCode>General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xVal>
          <c:yVal>
            <c:numRef>
              <c:f>pomocny!$N$40:$N$41</c:f>
              <c:numCache>
                <c:formatCode>General</c:formatCode>
                <c:ptCount val="2"/>
                <c:pt idx="0">
                  <c:v>14.979999999999999</c:v>
                </c:pt>
                <c:pt idx="1">
                  <c:v>14.979999999999999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CA94-4427-AA0F-1760A5E7E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0732904"/>
        <c:axId val="510730160"/>
      </c:scatterChart>
      <c:valAx>
        <c:axId val="510732904"/>
        <c:scaling>
          <c:orientation val="minMax"/>
          <c:max val="1"/>
        </c:scaling>
        <c:delete val="1"/>
        <c:axPos val="b"/>
        <c:numFmt formatCode="General" sourceLinked="1"/>
        <c:majorTickMark val="out"/>
        <c:minorTickMark val="none"/>
        <c:tickLblPos val="nextTo"/>
        <c:crossAx val="510730160"/>
        <c:crosses val="autoZero"/>
        <c:crossBetween val="midCat"/>
      </c:valAx>
      <c:valAx>
        <c:axId val="510730160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510732904"/>
        <c:crosses val="autoZero"/>
        <c:crossBetween val="midCat"/>
      </c:valAx>
      <c:spPr>
        <a:noFill/>
        <a:ln w="12700">
          <a:solidFill>
            <a:sysClr val="windowText" lastClr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Polygon četností</a:t>
            </a:r>
          </a:p>
        </c:rich>
      </c:tx>
      <c:layout>
        <c:manualLayout>
          <c:xMode val="edge"/>
          <c:yMode val="edge"/>
          <c:x val="0.39413084634912438"/>
          <c:y val="3.1358996792067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586103962169E-2"/>
          <c:y val="0.11389244989453938"/>
          <c:w val="0.83773148244078366"/>
          <c:h val="0.7194669395776999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</c:marker>
          <c:cat>
            <c:numRef>
              <c:f>'bodové rozdělení'!$A$5:$A$24</c:f>
              <c:numCache>
                <c:formatCode>General</c:formatCode>
                <c:ptCount val="20"/>
                <c:pt idx="0">
                  <c:v>79</c:v>
                </c:pt>
                <c:pt idx="1">
                  <c:v>80</c:v>
                </c:pt>
                <c:pt idx="2">
                  <c:v>81</c:v>
                </c:pt>
                <c:pt idx="3">
                  <c:v>82</c:v>
                </c:pt>
                <c:pt idx="4">
                  <c:v>83</c:v>
                </c:pt>
                <c:pt idx="5">
                  <c:v>84</c:v>
                </c:pt>
                <c:pt idx="6">
                  <c:v>85</c:v>
                </c:pt>
                <c:pt idx="7">
                  <c:v>86</c:v>
                </c:pt>
                <c:pt idx="8">
                  <c:v>87</c:v>
                </c:pt>
                <c:pt idx="9">
                  <c:v>88</c:v>
                </c:pt>
                <c:pt idx="10">
                  <c:v>89</c:v>
                </c:pt>
                <c:pt idx="11">
                  <c:v>90</c:v>
                </c:pt>
                <c:pt idx="12">
                  <c:v>91</c:v>
                </c:pt>
                <c:pt idx="13">
                  <c:v>92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</c:numCache>
            </c:numRef>
          </c:cat>
          <c:val>
            <c:numRef>
              <c:f>'bodové rozdělení'!$B$5:$B$24</c:f>
              <c:numCache>
                <c:formatCode>General</c:formatCode>
                <c:ptCount val="20"/>
                <c:pt idx="0">
                  <c:v>3</c:v>
                </c:pt>
                <c:pt idx="1">
                  <c:v>5</c:v>
                </c:pt>
                <c:pt idx="2">
                  <c:v>11</c:v>
                </c:pt>
                <c:pt idx="3">
                  <c:v>16</c:v>
                </c:pt>
                <c:pt idx="4">
                  <c:v>8</c:v>
                </c:pt>
                <c:pt idx="5">
                  <c:v>4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27A-4B80-A563-66FD264D5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734080"/>
        <c:axId val="510733296"/>
      </c:lineChart>
      <c:catAx>
        <c:axId val="510734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x</a:t>
                </a:r>
              </a:p>
            </c:rich>
          </c:tx>
          <c:layout>
            <c:manualLayout>
              <c:xMode val="edge"/>
              <c:yMode val="edge"/>
              <c:x val="0.94409491846306104"/>
              <c:y val="0.778164916885389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3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10733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1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1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9.4339744417193755E-2"/>
              <c:y val="4.994203849518810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40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Součtová křivka</a:t>
            </a:r>
          </a:p>
        </c:rich>
      </c:tx>
      <c:layout>
        <c:manualLayout>
          <c:xMode val="edge"/>
          <c:yMode val="edge"/>
          <c:x val="0.41876748165100053"/>
          <c:y val="3.48432487605715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09360345058882"/>
          <c:y val="0.11389244989453938"/>
          <c:w val="0.81447542674206341"/>
          <c:h val="0.716689074946125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3"/>
          </c:marker>
          <c:cat>
            <c:numRef>
              <c:f>'bodové rozdělení'!$A$5:$A$24</c:f>
              <c:numCache>
                <c:formatCode>General</c:formatCode>
                <c:ptCount val="20"/>
                <c:pt idx="0">
                  <c:v>79</c:v>
                </c:pt>
                <c:pt idx="1">
                  <c:v>80</c:v>
                </c:pt>
                <c:pt idx="2">
                  <c:v>81</c:v>
                </c:pt>
                <c:pt idx="3">
                  <c:v>82</c:v>
                </c:pt>
                <c:pt idx="4">
                  <c:v>83</c:v>
                </c:pt>
                <c:pt idx="5">
                  <c:v>84</c:v>
                </c:pt>
                <c:pt idx="6">
                  <c:v>85</c:v>
                </c:pt>
                <c:pt idx="7">
                  <c:v>86</c:v>
                </c:pt>
                <c:pt idx="8">
                  <c:v>87</c:v>
                </c:pt>
                <c:pt idx="9">
                  <c:v>88</c:v>
                </c:pt>
                <c:pt idx="10">
                  <c:v>89</c:v>
                </c:pt>
                <c:pt idx="11">
                  <c:v>90</c:v>
                </c:pt>
                <c:pt idx="12">
                  <c:v>91</c:v>
                </c:pt>
                <c:pt idx="13">
                  <c:v>92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</c:numCache>
            </c:numRef>
          </c:cat>
          <c:val>
            <c:numRef>
              <c:f>'bodové rozdělení'!$D$5:$D$24</c:f>
              <c:numCache>
                <c:formatCode>General</c:formatCode>
                <c:ptCount val="20"/>
                <c:pt idx="0">
                  <c:v>3</c:v>
                </c:pt>
                <c:pt idx="1">
                  <c:v>8</c:v>
                </c:pt>
                <c:pt idx="2">
                  <c:v>19</c:v>
                </c:pt>
                <c:pt idx="3">
                  <c:v>35</c:v>
                </c:pt>
                <c:pt idx="4">
                  <c:v>43</c:v>
                </c:pt>
                <c:pt idx="5">
                  <c:v>47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2AA-43F6-963D-039AEC988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730944"/>
        <c:axId val="510734864"/>
      </c:lineChart>
      <c:catAx>
        <c:axId val="510730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x</a:t>
                </a:r>
              </a:p>
            </c:rich>
          </c:tx>
          <c:layout>
            <c:manualLayout>
              <c:xMode val="edge"/>
              <c:yMode val="edge"/>
              <c:x val="0.93487387352443019"/>
              <c:y val="0.77700349956255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4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107348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1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1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1057423856500696"/>
              <c:y val="5.458807232429280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09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Histogram</a:t>
            </a:r>
          </a:p>
        </c:rich>
      </c:tx>
      <c:layout>
        <c:manualLayout>
          <c:xMode val="edge"/>
          <c:yMode val="edge"/>
          <c:x val="0.45118581990976619"/>
          <c:y val="1.74822158372264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72319565447502"/>
          <c:y val="0.17270723514862091"/>
          <c:w val="0.8219220926775116"/>
          <c:h val="0.6016897224532599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9999FF">
                    <a:gamma/>
                    <a:shade val="76078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'intervalové rozdělení'!$C$5:$C$24</c:f>
              <c:numCache>
                <c:formatCode>General</c:formatCode>
                <c:ptCount val="20"/>
                <c:pt idx="0">
                  <c:v>5.35</c:v>
                </c:pt>
                <c:pt idx="1">
                  <c:v>5.85</c:v>
                </c:pt>
                <c:pt idx="2">
                  <c:v>6.35</c:v>
                </c:pt>
                <c:pt idx="3">
                  <c:v>6.85</c:v>
                </c:pt>
                <c:pt idx="4">
                  <c:v>7.35</c:v>
                </c:pt>
                <c:pt idx="5">
                  <c:v>7.85</c:v>
                </c:pt>
                <c:pt idx="6">
                  <c:v>8.35</c:v>
                </c:pt>
                <c:pt idx="7">
                  <c:v>8.85</c:v>
                </c:pt>
                <c:pt idx="8">
                  <c:v>9.35</c:v>
                </c:pt>
                <c:pt idx="9">
                  <c:v>9.85</c:v>
                </c:pt>
                <c:pt idx="10">
                  <c:v>10.35</c:v>
                </c:pt>
                <c:pt idx="11">
                  <c:v>10.85</c:v>
                </c:pt>
                <c:pt idx="12">
                  <c:v>11.35</c:v>
                </c:pt>
                <c:pt idx="13">
                  <c:v>11.85</c:v>
                </c:pt>
                <c:pt idx="14">
                  <c:v>12.35</c:v>
                </c:pt>
                <c:pt idx="15">
                  <c:v>12.85</c:v>
                </c:pt>
                <c:pt idx="16">
                  <c:v>13.35</c:v>
                </c:pt>
                <c:pt idx="17">
                  <c:v>13.85</c:v>
                </c:pt>
                <c:pt idx="18">
                  <c:v>14.35</c:v>
                </c:pt>
                <c:pt idx="19">
                  <c:v>14.85</c:v>
                </c:pt>
              </c:numCache>
            </c:numRef>
          </c:cat>
          <c:val>
            <c:numRef>
              <c:f>'intervalové rozdělení'!$D$5:$D$24</c:f>
              <c:numCache>
                <c:formatCode>General</c:formatCode>
                <c:ptCount val="20"/>
                <c:pt idx="0">
                  <c:v>5</c:v>
                </c:pt>
                <c:pt idx="1">
                  <c:v>15</c:v>
                </c:pt>
                <c:pt idx="2">
                  <c:v>14</c:v>
                </c:pt>
                <c:pt idx="3">
                  <c:v>10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885-4945-B48F-7FE8258D8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0731728"/>
        <c:axId val="510731336"/>
      </c:barChart>
      <c:catAx>
        <c:axId val="510731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středy tříd</a:t>
                </a:r>
              </a:p>
            </c:rich>
          </c:tx>
          <c:layout>
            <c:manualLayout>
              <c:xMode val="edge"/>
              <c:yMode val="edge"/>
              <c:x val="0.44072573036213608"/>
              <c:y val="0.9172511862201068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1336"/>
        <c:crosses val="autoZero"/>
        <c:auto val="0"/>
        <c:lblAlgn val="ctr"/>
        <c:lblOffset val="100"/>
        <c:tickMarkSkip val="1"/>
        <c:noMultiLvlLbl val="0"/>
      </c:catAx>
      <c:valAx>
        <c:axId val="5107313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2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2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1025103786046352"/>
              <c:y val="4.428932804012312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1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>
      <c:oddHeader>&amp;A</c:oddHeader>
      <c:oddFooter>Strana &amp;P</c:oddFooter>
    </c:headerFooter>
    <c:pageMargins b="0.984251969" l="0.78740157499999996" r="0.78740157499999996" t="0.984251969" header="0.4921259845" footer="0.4921259845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cs-CZ"/>
              <a:t>Součtový histogram</a:t>
            </a:r>
          </a:p>
        </c:rich>
      </c:tx>
      <c:layout>
        <c:manualLayout>
          <c:xMode val="edge"/>
          <c:yMode val="edge"/>
          <c:x val="0.38025203746083464"/>
          <c:y val="2.1052515494386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78787985239053"/>
          <c:y val="0.19608518926473142"/>
          <c:w val="0.80790707652640148"/>
          <c:h val="0.59385800177318648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9999FF">
                    <a:gamma/>
                    <a:shade val="66667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'intervalové rozdělení'!$C$5:$C$24</c:f>
              <c:numCache>
                <c:formatCode>General</c:formatCode>
                <c:ptCount val="20"/>
                <c:pt idx="0">
                  <c:v>5.35</c:v>
                </c:pt>
                <c:pt idx="1">
                  <c:v>5.85</c:v>
                </c:pt>
                <c:pt idx="2">
                  <c:v>6.35</c:v>
                </c:pt>
                <c:pt idx="3">
                  <c:v>6.85</c:v>
                </c:pt>
                <c:pt idx="4">
                  <c:v>7.35</c:v>
                </c:pt>
                <c:pt idx="5">
                  <c:v>7.85</c:v>
                </c:pt>
                <c:pt idx="6">
                  <c:v>8.35</c:v>
                </c:pt>
                <c:pt idx="7">
                  <c:v>8.85</c:v>
                </c:pt>
                <c:pt idx="8">
                  <c:v>9.35</c:v>
                </c:pt>
                <c:pt idx="9">
                  <c:v>9.85</c:v>
                </c:pt>
                <c:pt idx="10">
                  <c:v>10.35</c:v>
                </c:pt>
                <c:pt idx="11">
                  <c:v>10.85</c:v>
                </c:pt>
                <c:pt idx="12">
                  <c:v>11.35</c:v>
                </c:pt>
                <c:pt idx="13">
                  <c:v>11.85</c:v>
                </c:pt>
                <c:pt idx="14">
                  <c:v>12.35</c:v>
                </c:pt>
                <c:pt idx="15">
                  <c:v>12.85</c:v>
                </c:pt>
                <c:pt idx="16">
                  <c:v>13.35</c:v>
                </c:pt>
                <c:pt idx="17">
                  <c:v>13.85</c:v>
                </c:pt>
                <c:pt idx="18">
                  <c:v>14.35</c:v>
                </c:pt>
                <c:pt idx="19">
                  <c:v>14.85</c:v>
                </c:pt>
              </c:numCache>
            </c:numRef>
          </c:cat>
          <c:val>
            <c:numRef>
              <c:f>'intervalové rozdělení'!$F$5:$F$24</c:f>
              <c:numCache>
                <c:formatCode>General</c:formatCode>
                <c:ptCount val="20"/>
                <c:pt idx="0">
                  <c:v>5</c:v>
                </c:pt>
                <c:pt idx="1">
                  <c:v>20</c:v>
                </c:pt>
                <c:pt idx="2">
                  <c:v>34</c:v>
                </c:pt>
                <c:pt idx="3">
                  <c:v>44</c:v>
                </c:pt>
                <c:pt idx="4">
                  <c:v>45</c:v>
                </c:pt>
                <c:pt idx="5">
                  <c:v>47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BF-4ED6-94D4-33D60FAD4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0734472"/>
        <c:axId val="510732120"/>
      </c:barChart>
      <c:catAx>
        <c:axId val="510734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cs-CZ"/>
                  <a:t>středy tříd</a:t>
                </a:r>
              </a:p>
            </c:rich>
          </c:tx>
          <c:layout>
            <c:manualLayout>
              <c:xMode val="edge"/>
              <c:yMode val="edge"/>
              <c:x val="0.48599442311090424"/>
              <c:y val="0.916961850356940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2120"/>
        <c:crosses val="autoZero"/>
        <c:auto val="0"/>
        <c:lblAlgn val="ctr"/>
        <c:lblOffset val="100"/>
        <c:tickMarkSkip val="1"/>
        <c:noMultiLvlLbl val="0"/>
      </c:catAx>
      <c:valAx>
        <c:axId val="5107321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2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</a:t>
                </a:r>
                <a:r>
                  <a:rPr lang="cs-CZ" sz="12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11414543009709993"/>
              <c:y val="4.67853283045501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cs-CZ"/>
          </a:p>
        </c:txPr>
        <c:crossAx val="510734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>
      <c:oddHeader>&amp;A</c:oddHeader>
      <c:oddFooter>Strana &amp;P</c:oddFooter>
    </c:headerFooter>
    <c:pageMargins b="0.984251969" l="0.78740157499999996" r="0.78740157499999996" t="0.984251969" header="0.4921259845" footer="0.4921259845"/>
    <c:pageSetup/>
  </c:printSettings>
</c:chartSpace>
</file>

<file path=xl/ctrlProps/ctrlProp1.xml><?xml version="1.0" encoding="utf-8"?>
<formControlPr xmlns="http://schemas.microsoft.com/office/spreadsheetml/2009/9/main" objectType="Drop" dropStyle="combo" dx="20" fmlaLink="pomocny!$H$2" fmlaRange="název" sel="4" val="0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checked="Checked" firstButton="1" fmlaLink="H33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H57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Drop" dropStyle="combo" dx="20" fmlaLink="pomocny!$J$2" fmlaRange="název" sel="5" val="0"/>
</file>

<file path=xl/ctrlProps/ctrlProp20.xml><?xml version="1.0" encoding="utf-8"?>
<formControlPr xmlns="http://schemas.microsoft.com/office/spreadsheetml/2009/9/main" objectType="Radio" checked="Checked" firstButton="1" fmlaLink="H73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Drop" dropStyle="combo" dx="20" fmlaLink="pomocny!$P$11" fmlaRange="název" sel="16" val="8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H1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Drop" dropStyle="combo" dx="20" fmlaLink="pomocny!$M$2" fmlaRange="název" sel="10" val="6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checked="Checked" firstButton="1" fmlaLink="H41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Drop" dropStyle="combo" dx="20" fmlaLink="pomocny!$S$2" fmlaRange="název" sel="4" val="0"/>
</file>

<file path=xl/ctrlProps/ctrlProp37.xml><?xml version="1.0" encoding="utf-8"?>
<formControlPr xmlns="http://schemas.microsoft.com/office/spreadsheetml/2009/9/main" objectType="Drop" dropStyle="combo" dx="20" fmlaLink="pomocny!$V$2" fmlaRange="název" sel="5" val="3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0" fmlaLink="pomocny!$P$2" fmlaRange="název" sel="14" val="11"/>
</file>

<file path=xl/ctrlProps/ctrlProp40.xml><?xml version="1.0" encoding="utf-8"?>
<formControlPr xmlns="http://schemas.microsoft.com/office/spreadsheetml/2009/9/main" objectType="Radio" checked="Checked" firstButton="1" fmlaLink="H9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firstButton="1" fmlaLink="H16" lockText="1" noThreeD="1"/>
</file>

<file path=xl/ctrlProps/ctrlProp46.xml><?xml version="1.0" encoding="utf-8"?>
<formControlPr xmlns="http://schemas.microsoft.com/office/spreadsheetml/2009/9/main" objectType="Radio" checked="Checked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checked="Checked" firstButton="1" fmlaLink="H24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H40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Radio" checked="Checked" firstButton="1" fmlaLink="H47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Radio" checked="Checked" firstButton="1" fmlaLink="H55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GBox" noThreeD="1"/>
</file>

<file path=xl/ctrlProps/ctrlProp65.xml><?xml version="1.0" encoding="utf-8"?>
<formControlPr xmlns="http://schemas.microsoft.com/office/spreadsheetml/2009/9/main" objectType="GBox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GBox" noThreeD="1"/>
</file>

<file path=xl/ctrlProps/ctrlProp68.xml><?xml version="1.0" encoding="utf-8"?>
<formControlPr xmlns="http://schemas.microsoft.com/office/spreadsheetml/2009/9/main" objectType="Drop" dropStyle="combo" dx="20" fmlaLink="pomocny!$S$11" fmlaRange="název" sel="42" val="37"/>
</file>

<file path=xl/ctrlProps/ctrlProp69.xml><?xml version="1.0" encoding="utf-8"?>
<formControlPr xmlns="http://schemas.microsoft.com/office/spreadsheetml/2009/9/main" objectType="Drop" dropStyle="combo" dx="20" fmlaLink="pomocny!$V$11" fmlaRange="název" sel="43" val="41"/>
</file>

<file path=xl/ctrlProps/ctrlProp7.xml><?xml version="1.0" encoding="utf-8"?>
<formControlPr xmlns="http://schemas.microsoft.com/office/spreadsheetml/2009/9/main" objectType="Radio" firstButton="1" fmlaLink="H17" lockText="1" noThreeD="1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Radio" checked="Checked" firstButton="1" fmlaLink="H9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Radio" checked="Checked" firstButton="1" fmlaLink="H25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checked="Checked" lockText="1" noThreeD="1"/>
</file>

<file path=xl/ctrlProps/ctrlProp80.xml><?xml version="1.0" encoding="utf-8"?>
<formControlPr xmlns="http://schemas.microsoft.com/office/spreadsheetml/2009/9/main" objectType="Drop" dropStyle="combo" dx="20" fmlaLink="pomocny!$Y$2" fmlaRange="název" sel="34" val="27"/>
</file>

<file path=xl/ctrlProps/ctrlProp81.xml><?xml version="1.0" encoding="utf-8"?>
<formControlPr xmlns="http://schemas.microsoft.com/office/spreadsheetml/2009/9/main" objectType="Drop" dropStyle="combo" dx="20" fmlaLink="pomocny!$AB$2" fmlaRange="název" sel="35" val="33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Radio" checked="Checked" firstButton="1" fmlaLink="H9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Radio" checked="Checked" firstButton="1" fmlaLink="H25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GBox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GBox" noThreeD="1"/>
</file>

<file path=xl/ctrlProps/ctrlProp93.xml><?xml version="1.0" encoding="utf-8"?>
<formControlPr xmlns="http://schemas.microsoft.com/office/spreadsheetml/2009/9/main" objectType="Radio" checked="Checked" firstButton="1" fmlaLink="H17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GBox" noThreeD="1"/>
</file>

<file path=xl/ctrlProps/ctrlProp97.xml><?xml version="1.0" encoding="utf-8"?>
<formControlPr xmlns="http://schemas.microsoft.com/office/spreadsheetml/2009/9/main" objectType="GBox" noThreeD="1"/>
</file>

<file path=xl/ctrlProps/ctrlProp98.xml><?xml version="1.0" encoding="utf-8"?>
<formControlPr xmlns="http://schemas.microsoft.com/office/spreadsheetml/2009/9/main" objectType="Radio" checked="Checked" firstButton="1" fmlaLink="H34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emf"/><Relationship Id="rId1" Type="http://schemas.openxmlformats.org/officeDocument/2006/relationships/image" Target="../media/image39.em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emf"/><Relationship Id="rId1" Type="http://schemas.openxmlformats.org/officeDocument/2006/relationships/image" Target="../media/image39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2.emf"/><Relationship Id="rId6" Type="http://schemas.openxmlformats.org/officeDocument/2006/relationships/image" Target="../media/image4.emf"/><Relationship Id="rId5" Type="http://schemas.openxmlformats.org/officeDocument/2006/relationships/image" Target="../media/image3.emf"/><Relationship Id="rId4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13" Type="http://schemas.openxmlformats.org/officeDocument/2006/relationships/image" Target="../media/image19.emf"/><Relationship Id="rId3" Type="http://schemas.openxmlformats.org/officeDocument/2006/relationships/image" Target="../media/image9.emf"/><Relationship Id="rId7" Type="http://schemas.openxmlformats.org/officeDocument/2006/relationships/image" Target="../media/image13.emf"/><Relationship Id="rId12" Type="http://schemas.openxmlformats.org/officeDocument/2006/relationships/image" Target="../media/image18.emf"/><Relationship Id="rId17" Type="http://schemas.openxmlformats.org/officeDocument/2006/relationships/image" Target="../media/image23.emf"/><Relationship Id="rId2" Type="http://schemas.openxmlformats.org/officeDocument/2006/relationships/image" Target="../media/image8.emf"/><Relationship Id="rId16" Type="http://schemas.openxmlformats.org/officeDocument/2006/relationships/image" Target="../media/image22.emf"/><Relationship Id="rId1" Type="http://schemas.openxmlformats.org/officeDocument/2006/relationships/image" Target="../media/image7.emf"/><Relationship Id="rId6" Type="http://schemas.openxmlformats.org/officeDocument/2006/relationships/image" Target="../media/image12.emf"/><Relationship Id="rId11" Type="http://schemas.openxmlformats.org/officeDocument/2006/relationships/image" Target="../media/image17.emf"/><Relationship Id="rId5" Type="http://schemas.openxmlformats.org/officeDocument/2006/relationships/image" Target="../media/image11.emf"/><Relationship Id="rId15" Type="http://schemas.openxmlformats.org/officeDocument/2006/relationships/image" Target="../media/image21.emf"/><Relationship Id="rId10" Type="http://schemas.openxmlformats.org/officeDocument/2006/relationships/image" Target="../media/image16.emf"/><Relationship Id="rId4" Type="http://schemas.openxmlformats.org/officeDocument/2006/relationships/image" Target="../media/image10.emf"/><Relationship Id="rId9" Type="http://schemas.openxmlformats.org/officeDocument/2006/relationships/image" Target="../media/image15.emf"/><Relationship Id="rId14" Type="http://schemas.openxmlformats.org/officeDocument/2006/relationships/image" Target="../media/image20.emf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15.emf"/><Relationship Id="rId3" Type="http://schemas.openxmlformats.org/officeDocument/2006/relationships/image" Target="../media/image10.emf"/><Relationship Id="rId7" Type="http://schemas.openxmlformats.org/officeDocument/2006/relationships/image" Target="../media/image14.emf"/><Relationship Id="rId2" Type="http://schemas.openxmlformats.org/officeDocument/2006/relationships/image" Target="../media/image9.emf"/><Relationship Id="rId1" Type="http://schemas.openxmlformats.org/officeDocument/2006/relationships/image" Target="../media/image7.emf"/><Relationship Id="rId6" Type="http://schemas.openxmlformats.org/officeDocument/2006/relationships/image" Target="../media/image13.emf"/><Relationship Id="rId5" Type="http://schemas.openxmlformats.org/officeDocument/2006/relationships/image" Target="../media/image21.emf"/><Relationship Id="rId4" Type="http://schemas.openxmlformats.org/officeDocument/2006/relationships/image" Target="../media/image11.emf"/></Relationships>
</file>

<file path=xl/drawings/_rels/vmlDrawing6.vml.rels><?xml version="1.0" encoding="UTF-8" standalone="yes"?>
<Relationships xmlns="http://schemas.openxmlformats.org/package/2006/relationships"><Relationship Id="rId8" Type="http://schemas.openxmlformats.org/officeDocument/2006/relationships/image" Target="../media/image31.emf"/><Relationship Id="rId13" Type="http://schemas.openxmlformats.org/officeDocument/2006/relationships/image" Target="../media/image36.emf"/><Relationship Id="rId3" Type="http://schemas.openxmlformats.org/officeDocument/2006/relationships/image" Target="../media/image26.emf"/><Relationship Id="rId7" Type="http://schemas.openxmlformats.org/officeDocument/2006/relationships/image" Target="../media/image30.emf"/><Relationship Id="rId12" Type="http://schemas.openxmlformats.org/officeDocument/2006/relationships/image" Target="../media/image35.emf"/><Relationship Id="rId2" Type="http://schemas.openxmlformats.org/officeDocument/2006/relationships/image" Target="../media/image25.emf"/><Relationship Id="rId1" Type="http://schemas.openxmlformats.org/officeDocument/2006/relationships/image" Target="../media/image24.emf"/><Relationship Id="rId6" Type="http://schemas.openxmlformats.org/officeDocument/2006/relationships/image" Target="../media/image29.emf"/><Relationship Id="rId11" Type="http://schemas.openxmlformats.org/officeDocument/2006/relationships/image" Target="../media/image34.emf"/><Relationship Id="rId5" Type="http://schemas.openxmlformats.org/officeDocument/2006/relationships/image" Target="../media/image28.emf"/><Relationship Id="rId15" Type="http://schemas.openxmlformats.org/officeDocument/2006/relationships/image" Target="../media/image38.emf"/><Relationship Id="rId10" Type="http://schemas.openxmlformats.org/officeDocument/2006/relationships/image" Target="../media/image33.emf"/><Relationship Id="rId4" Type="http://schemas.openxmlformats.org/officeDocument/2006/relationships/image" Target="../media/image27.emf"/><Relationship Id="rId9" Type="http://schemas.openxmlformats.org/officeDocument/2006/relationships/image" Target="../media/image32.emf"/><Relationship Id="rId14" Type="http://schemas.openxmlformats.org/officeDocument/2006/relationships/image" Target="../media/image37.emf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7.emf"/><Relationship Id="rId2" Type="http://schemas.openxmlformats.org/officeDocument/2006/relationships/image" Target="../media/image27.emf"/><Relationship Id="rId1" Type="http://schemas.openxmlformats.org/officeDocument/2006/relationships/image" Target="../media/image26.emf"/><Relationship Id="rId6" Type="http://schemas.openxmlformats.org/officeDocument/2006/relationships/image" Target="../media/image36.emf"/><Relationship Id="rId5" Type="http://schemas.openxmlformats.org/officeDocument/2006/relationships/image" Target="../media/image35.emf"/><Relationship Id="rId4" Type="http://schemas.openxmlformats.org/officeDocument/2006/relationships/image" Target="../media/image34.emf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7.emf"/><Relationship Id="rId7" Type="http://schemas.openxmlformats.org/officeDocument/2006/relationships/image" Target="../media/image41.emf"/><Relationship Id="rId2" Type="http://schemas.openxmlformats.org/officeDocument/2006/relationships/image" Target="../media/image27.emf"/><Relationship Id="rId1" Type="http://schemas.openxmlformats.org/officeDocument/2006/relationships/image" Target="../media/image26.emf"/><Relationship Id="rId6" Type="http://schemas.openxmlformats.org/officeDocument/2006/relationships/image" Target="../media/image36.emf"/><Relationship Id="rId5" Type="http://schemas.openxmlformats.org/officeDocument/2006/relationships/image" Target="../media/image35.emf"/><Relationship Id="rId4" Type="http://schemas.openxmlformats.org/officeDocument/2006/relationships/image" Target="../media/image34.emf"/></Relationships>
</file>

<file path=xl/drawings/_rels/vmlDrawing9.vml.rels><?xml version="1.0" encoding="UTF-8" standalone="yes"?>
<Relationships xmlns="http://schemas.openxmlformats.org/package/2006/relationships"><Relationship Id="rId8" Type="http://schemas.openxmlformats.org/officeDocument/2006/relationships/image" Target="../media/image49.emf"/><Relationship Id="rId3" Type="http://schemas.openxmlformats.org/officeDocument/2006/relationships/image" Target="../media/image44.emf"/><Relationship Id="rId7" Type="http://schemas.openxmlformats.org/officeDocument/2006/relationships/image" Target="../media/image48.emf"/><Relationship Id="rId2" Type="http://schemas.openxmlformats.org/officeDocument/2006/relationships/image" Target="../media/image43.emf"/><Relationship Id="rId1" Type="http://schemas.openxmlformats.org/officeDocument/2006/relationships/image" Target="../media/image42.emf"/><Relationship Id="rId6" Type="http://schemas.openxmlformats.org/officeDocument/2006/relationships/image" Target="../media/image47.emf"/><Relationship Id="rId5" Type="http://schemas.openxmlformats.org/officeDocument/2006/relationships/image" Target="../media/image46.emf"/><Relationship Id="rId10" Type="http://schemas.openxmlformats.org/officeDocument/2006/relationships/image" Target="../media/image51.emf"/><Relationship Id="rId4" Type="http://schemas.openxmlformats.org/officeDocument/2006/relationships/image" Target="../media/image45.emf"/><Relationship Id="rId9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1112520</xdr:colOff>
      <xdr:row>42</xdr:row>
      <xdr:rowOff>0</xdr:rowOff>
    </xdr:from>
    <xdr:to>
      <xdr:col>12</xdr:col>
      <xdr:colOff>228600</xdr:colOff>
      <xdr:row>69</xdr:row>
      <xdr:rowOff>106680</xdr:rowOff>
    </xdr:to>
    <xdr:graphicFrame macro="">
      <xdr:nvGraphicFramePr>
        <xdr:cNvPr id="13319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7</xdr:row>
          <xdr:rowOff>69850</xdr:rowOff>
        </xdr:from>
        <xdr:to>
          <xdr:col>0</xdr:col>
          <xdr:colOff>438150</xdr:colOff>
          <xdr:row>7</xdr:row>
          <xdr:rowOff>247650</xdr:rowOff>
        </xdr:to>
        <xdr:sp macro="" textlink="">
          <xdr:nvSpPr>
            <xdr:cNvPr id="606216" name="obrázek 14" hidden="1">
              <a:extLst>
                <a:ext uri="{63B3BB69-23CF-44E3-9099-C40C66FF867C}">
                  <a14:compatExt spid="_x0000_s606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15</xdr:row>
          <xdr:rowOff>190500</xdr:rowOff>
        </xdr:from>
        <xdr:to>
          <xdr:col>1</xdr:col>
          <xdr:colOff>685800</xdr:colOff>
          <xdr:row>17</xdr:row>
          <xdr:rowOff>146050</xdr:rowOff>
        </xdr:to>
        <xdr:sp macro="" textlink="">
          <xdr:nvSpPr>
            <xdr:cNvPr id="606224" name="Group Box 16" hidden="1">
              <a:extLst>
                <a:ext uri="{63B3BB69-23CF-44E3-9099-C40C66FF867C}">
                  <a14:compatExt spid="_x0000_s606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16</xdr:row>
          <xdr:rowOff>69850</xdr:rowOff>
        </xdr:from>
        <xdr:to>
          <xdr:col>3</xdr:col>
          <xdr:colOff>95250</xdr:colOff>
          <xdr:row>16</xdr:row>
          <xdr:rowOff>298450</xdr:rowOff>
        </xdr:to>
        <xdr:sp macro="" textlink="">
          <xdr:nvSpPr>
            <xdr:cNvPr id="606225" name="Option Button 17" hidden="1">
              <a:extLst>
                <a:ext uri="{63B3BB69-23CF-44E3-9099-C40C66FF867C}">
                  <a14:compatExt spid="_x0000_s606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16</xdr:row>
          <xdr:rowOff>76200</xdr:rowOff>
        </xdr:from>
        <xdr:to>
          <xdr:col>4</xdr:col>
          <xdr:colOff>457200</xdr:colOff>
          <xdr:row>16</xdr:row>
          <xdr:rowOff>298450</xdr:rowOff>
        </xdr:to>
        <xdr:sp macro="" textlink="">
          <xdr:nvSpPr>
            <xdr:cNvPr id="606226" name="Option Button 18" hidden="1">
              <a:extLst>
                <a:ext uri="{63B3BB69-23CF-44E3-9099-C40C66FF867C}">
                  <a14:compatExt spid="_x0000_s6062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488950</xdr:colOff>
          <xdr:row>16</xdr:row>
          <xdr:rowOff>76200</xdr:rowOff>
        </xdr:from>
        <xdr:to>
          <xdr:col>6</xdr:col>
          <xdr:colOff>57150</xdr:colOff>
          <xdr:row>16</xdr:row>
          <xdr:rowOff>304800</xdr:rowOff>
        </xdr:to>
        <xdr:sp macro="" textlink="">
          <xdr:nvSpPr>
            <xdr:cNvPr id="606227" name="Option Button 19" hidden="1">
              <a:extLst>
                <a:ext uri="{63B3BB69-23CF-44E3-9099-C40C66FF867C}">
                  <a14:compatExt spid="_x0000_s6062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584200</xdr:colOff>
          <xdr:row>16</xdr:row>
          <xdr:rowOff>69850</xdr:rowOff>
        </xdr:from>
        <xdr:to>
          <xdr:col>1</xdr:col>
          <xdr:colOff>266700</xdr:colOff>
          <xdr:row>16</xdr:row>
          <xdr:rowOff>298450</xdr:rowOff>
        </xdr:to>
        <xdr:sp macro="" textlink="">
          <xdr:nvSpPr>
            <xdr:cNvPr id="606229" name="obrázek 71" hidden="1">
              <a:extLst>
                <a:ext uri="{63B3BB69-23CF-44E3-9099-C40C66FF867C}">
                  <a14:compatExt spid="_x0000_s606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15</xdr:row>
          <xdr:rowOff>190500</xdr:rowOff>
        </xdr:from>
        <xdr:to>
          <xdr:col>7</xdr:col>
          <xdr:colOff>0</xdr:colOff>
          <xdr:row>17</xdr:row>
          <xdr:rowOff>146050</xdr:rowOff>
        </xdr:to>
        <xdr:sp macro="" textlink="">
          <xdr:nvSpPr>
            <xdr:cNvPr id="606234" name="Group Box 26" hidden="1">
              <a:extLst>
                <a:ext uri="{63B3BB69-23CF-44E3-9099-C40C66FF867C}">
                  <a14:compatExt spid="_x0000_s606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16</xdr:row>
          <xdr:rowOff>88900</xdr:rowOff>
        </xdr:from>
        <xdr:to>
          <xdr:col>3</xdr:col>
          <xdr:colOff>495300</xdr:colOff>
          <xdr:row>17</xdr:row>
          <xdr:rowOff>0</xdr:rowOff>
        </xdr:to>
        <xdr:sp macro="" textlink="">
          <xdr:nvSpPr>
            <xdr:cNvPr id="606235" name="obrázek 71" hidden="1">
              <a:extLst>
                <a:ext uri="{63B3BB69-23CF-44E3-9099-C40C66FF867C}">
                  <a14:compatExt spid="_x0000_s606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16</xdr:row>
          <xdr:rowOff>95250</xdr:rowOff>
        </xdr:from>
        <xdr:to>
          <xdr:col>5</xdr:col>
          <xdr:colOff>133350</xdr:colOff>
          <xdr:row>17</xdr:row>
          <xdr:rowOff>12700</xdr:rowOff>
        </xdr:to>
        <xdr:sp macro="" textlink="">
          <xdr:nvSpPr>
            <xdr:cNvPr id="606236" name="obrázek 71" hidden="1">
              <a:extLst>
                <a:ext uri="{63B3BB69-23CF-44E3-9099-C40C66FF867C}">
                  <a14:compatExt spid="_x0000_s606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95250</xdr:rowOff>
        </xdr:from>
        <xdr:to>
          <xdr:col>6</xdr:col>
          <xdr:colOff>457200</xdr:colOff>
          <xdr:row>17</xdr:row>
          <xdr:rowOff>12700</xdr:rowOff>
        </xdr:to>
        <xdr:sp macro="" textlink="">
          <xdr:nvSpPr>
            <xdr:cNvPr id="606237" name="obrázek 71" hidden="1">
              <a:extLst>
                <a:ext uri="{63B3BB69-23CF-44E3-9099-C40C66FF867C}">
                  <a14:compatExt spid="_x0000_s606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32</xdr:row>
          <xdr:rowOff>133350</xdr:rowOff>
        </xdr:from>
        <xdr:to>
          <xdr:col>1</xdr:col>
          <xdr:colOff>685800</xdr:colOff>
          <xdr:row>34</xdr:row>
          <xdr:rowOff>95250</xdr:rowOff>
        </xdr:to>
        <xdr:sp macro="" textlink="">
          <xdr:nvSpPr>
            <xdr:cNvPr id="606251" name="Group Box 43" hidden="1">
              <a:extLst>
                <a:ext uri="{63B3BB69-23CF-44E3-9099-C40C66FF867C}">
                  <a14:compatExt spid="_x0000_s6062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33</xdr:row>
          <xdr:rowOff>31750</xdr:rowOff>
        </xdr:from>
        <xdr:to>
          <xdr:col>3</xdr:col>
          <xdr:colOff>133350</xdr:colOff>
          <xdr:row>33</xdr:row>
          <xdr:rowOff>247650</xdr:rowOff>
        </xdr:to>
        <xdr:sp macro="" textlink="">
          <xdr:nvSpPr>
            <xdr:cNvPr id="606252" name="Option Button 44" hidden="1">
              <a:extLst>
                <a:ext uri="{63B3BB69-23CF-44E3-9099-C40C66FF867C}">
                  <a14:compatExt spid="_x0000_s6062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33</xdr:row>
          <xdr:rowOff>31750</xdr:rowOff>
        </xdr:from>
        <xdr:to>
          <xdr:col>4</xdr:col>
          <xdr:colOff>476250</xdr:colOff>
          <xdr:row>33</xdr:row>
          <xdr:rowOff>247650</xdr:rowOff>
        </xdr:to>
        <xdr:sp macro="" textlink="">
          <xdr:nvSpPr>
            <xdr:cNvPr id="606253" name="Option Button 45" hidden="1">
              <a:extLst>
                <a:ext uri="{63B3BB69-23CF-44E3-9099-C40C66FF867C}">
                  <a14:compatExt spid="_x0000_s606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33</xdr:row>
          <xdr:rowOff>50800</xdr:rowOff>
        </xdr:from>
        <xdr:to>
          <xdr:col>6</xdr:col>
          <xdr:colOff>12700</xdr:colOff>
          <xdr:row>33</xdr:row>
          <xdr:rowOff>260350</xdr:rowOff>
        </xdr:to>
        <xdr:sp macro="" textlink="">
          <xdr:nvSpPr>
            <xdr:cNvPr id="606254" name="Option Button 46" hidden="1">
              <a:extLst>
                <a:ext uri="{63B3BB69-23CF-44E3-9099-C40C66FF867C}">
                  <a14:compatExt spid="_x0000_s606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33</xdr:row>
          <xdr:rowOff>31750</xdr:rowOff>
        </xdr:from>
        <xdr:to>
          <xdr:col>1</xdr:col>
          <xdr:colOff>279400</xdr:colOff>
          <xdr:row>33</xdr:row>
          <xdr:rowOff>247650</xdr:rowOff>
        </xdr:to>
        <xdr:sp macro="" textlink="">
          <xdr:nvSpPr>
            <xdr:cNvPr id="606255" name="obrázek 71" hidden="1">
              <a:extLst>
                <a:ext uri="{63B3BB69-23CF-44E3-9099-C40C66FF867C}">
                  <a14:compatExt spid="_x0000_s606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32</xdr:row>
          <xdr:rowOff>146050</xdr:rowOff>
        </xdr:from>
        <xdr:to>
          <xdr:col>6</xdr:col>
          <xdr:colOff>723900</xdr:colOff>
          <xdr:row>34</xdr:row>
          <xdr:rowOff>107950</xdr:rowOff>
        </xdr:to>
        <xdr:sp macro="" textlink="">
          <xdr:nvSpPr>
            <xdr:cNvPr id="606256" name="Group Box 48" hidden="1">
              <a:extLst>
                <a:ext uri="{63B3BB69-23CF-44E3-9099-C40C66FF867C}">
                  <a14:compatExt spid="_x0000_s606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33</xdr:row>
          <xdr:rowOff>31750</xdr:rowOff>
        </xdr:from>
        <xdr:to>
          <xdr:col>3</xdr:col>
          <xdr:colOff>603250</xdr:colOff>
          <xdr:row>33</xdr:row>
          <xdr:rowOff>260350</xdr:rowOff>
        </xdr:to>
        <xdr:sp macro="" textlink="">
          <xdr:nvSpPr>
            <xdr:cNvPr id="606257" name="obrázek 71" hidden="1">
              <a:extLst>
                <a:ext uri="{63B3BB69-23CF-44E3-9099-C40C66FF867C}">
                  <a14:compatExt spid="_x0000_s606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469900</xdr:colOff>
          <xdr:row>33</xdr:row>
          <xdr:rowOff>50800</xdr:rowOff>
        </xdr:from>
        <xdr:to>
          <xdr:col>5</xdr:col>
          <xdr:colOff>203200</xdr:colOff>
          <xdr:row>33</xdr:row>
          <xdr:rowOff>260350</xdr:rowOff>
        </xdr:to>
        <xdr:sp macro="" textlink="">
          <xdr:nvSpPr>
            <xdr:cNvPr id="606258" name="obrázek 71" hidden="1">
              <a:extLst>
                <a:ext uri="{63B3BB69-23CF-44E3-9099-C40C66FF867C}">
                  <a14:compatExt spid="_x0000_s606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33</xdr:row>
          <xdr:rowOff>50800</xdr:rowOff>
        </xdr:from>
        <xdr:to>
          <xdr:col>6</xdr:col>
          <xdr:colOff>450850</xdr:colOff>
          <xdr:row>33</xdr:row>
          <xdr:rowOff>266700</xdr:rowOff>
        </xdr:to>
        <xdr:sp macro="" textlink="">
          <xdr:nvSpPr>
            <xdr:cNvPr id="606259" name="obrázek 71" hidden="1">
              <a:extLst>
                <a:ext uri="{63B3BB69-23CF-44E3-9099-C40C66FF867C}">
                  <a14:compatExt spid="_x0000_s606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19</xdr:row>
          <xdr:rowOff>57150</xdr:rowOff>
        </xdr:from>
        <xdr:to>
          <xdr:col>8</xdr:col>
          <xdr:colOff>679450</xdr:colOff>
          <xdr:row>19</xdr:row>
          <xdr:rowOff>279400</xdr:rowOff>
        </xdr:to>
        <xdr:sp macro="" textlink="">
          <xdr:nvSpPr>
            <xdr:cNvPr id="606262" name="obrázek 71" hidden="1">
              <a:extLst>
                <a:ext uri="{63B3BB69-23CF-44E3-9099-C40C66FF867C}">
                  <a14:compatExt spid="_x0000_s606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285750</xdr:colOff>
          <xdr:row>7</xdr:row>
          <xdr:rowOff>69850</xdr:rowOff>
        </xdr:from>
        <xdr:to>
          <xdr:col>4</xdr:col>
          <xdr:colOff>469900</xdr:colOff>
          <xdr:row>7</xdr:row>
          <xdr:rowOff>285750</xdr:rowOff>
        </xdr:to>
        <xdr:sp macro="" textlink="">
          <xdr:nvSpPr>
            <xdr:cNvPr id="19457" name="obrázek 69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285750</xdr:colOff>
          <xdr:row>9</xdr:row>
          <xdr:rowOff>57150</xdr:rowOff>
        </xdr:from>
        <xdr:to>
          <xdr:col>2</xdr:col>
          <xdr:colOff>438150</xdr:colOff>
          <xdr:row>9</xdr:row>
          <xdr:rowOff>285750</xdr:rowOff>
        </xdr:to>
        <xdr:sp macro="" textlink="">
          <xdr:nvSpPr>
            <xdr:cNvPr id="19459" name="obrázek 71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7</xdr:row>
          <xdr:rowOff>88900</xdr:rowOff>
        </xdr:from>
        <xdr:to>
          <xdr:col>1</xdr:col>
          <xdr:colOff>450850</xdr:colOff>
          <xdr:row>7</xdr:row>
          <xdr:rowOff>241300</xdr:rowOff>
        </xdr:to>
        <xdr:sp macro="" textlink="">
          <xdr:nvSpPr>
            <xdr:cNvPr id="19460" name="obrázek 110" hidden="1">
              <a:extLst>
                <a:ext uri="{63B3BB69-23CF-44E3-9099-C40C66FF867C}">
                  <a14:compatExt spid="_x0000_s19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7</xdr:row>
          <xdr:rowOff>95250</xdr:rowOff>
        </xdr:from>
        <xdr:to>
          <xdr:col>7</xdr:col>
          <xdr:colOff>450850</xdr:colOff>
          <xdr:row>7</xdr:row>
          <xdr:rowOff>260350</xdr:rowOff>
        </xdr:to>
        <xdr:sp macro="" textlink="">
          <xdr:nvSpPr>
            <xdr:cNvPr id="19461" name="obrázek 111" hidden="1">
              <a:extLst>
                <a:ext uri="{63B3BB69-23CF-44E3-9099-C40C66FF867C}">
                  <a14:compatExt spid="_x0000_s194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9</xdr:row>
          <xdr:rowOff>95250</xdr:rowOff>
        </xdr:from>
        <xdr:to>
          <xdr:col>4</xdr:col>
          <xdr:colOff>450850</xdr:colOff>
          <xdr:row>9</xdr:row>
          <xdr:rowOff>260350</xdr:rowOff>
        </xdr:to>
        <xdr:sp macro="" textlink="">
          <xdr:nvSpPr>
            <xdr:cNvPr id="19462" name="obrázek 112" hidden="1">
              <a:extLst>
                <a:ext uri="{63B3BB69-23CF-44E3-9099-C40C66FF867C}">
                  <a14:compatExt spid="_x0000_s194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9465" name="Drop Down 9" hidden="1">
              <a:extLst>
                <a:ext uri="{63B3BB69-23CF-44E3-9099-C40C66FF867C}">
                  <a14:compatExt spid="_x0000_s194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184150</xdr:colOff>
          <xdr:row>9</xdr:row>
          <xdr:rowOff>50800</xdr:rowOff>
        </xdr:from>
        <xdr:to>
          <xdr:col>1</xdr:col>
          <xdr:colOff>552450</xdr:colOff>
          <xdr:row>9</xdr:row>
          <xdr:rowOff>279400</xdr:rowOff>
        </xdr:to>
        <xdr:sp macro="" textlink="">
          <xdr:nvSpPr>
            <xdr:cNvPr id="19467" name="Object 11" hidden="1">
              <a:extLst>
                <a:ext uri="{63B3BB69-23CF-44E3-9099-C40C66FF867C}">
                  <a14:compatExt spid="_x0000_s194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426720</xdr:colOff>
      <xdr:row>12</xdr:row>
      <xdr:rowOff>15240</xdr:rowOff>
    </xdr:from>
    <xdr:to>
      <xdr:col>16</xdr:col>
      <xdr:colOff>472440</xdr:colOff>
      <xdr:row>23</xdr:row>
      <xdr:rowOff>190500</xdr:rowOff>
    </xdr:to>
    <xdr:graphicFrame macro="">
      <xdr:nvGraphicFramePr>
        <xdr:cNvPr id="19480" name="graf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30480</xdr:colOff>
      <xdr:row>12</xdr:row>
      <xdr:rowOff>7620</xdr:rowOff>
    </xdr:from>
    <xdr:to>
      <xdr:col>8</xdr:col>
      <xdr:colOff>137160</xdr:colOff>
      <xdr:row>23</xdr:row>
      <xdr:rowOff>198120</xdr:rowOff>
    </xdr:to>
    <xdr:graphicFrame macro="">
      <xdr:nvGraphicFramePr>
        <xdr:cNvPr id="19481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31</xdr:row>
      <xdr:rowOff>0</xdr:rowOff>
    </xdr:from>
    <xdr:to>
      <xdr:col>6</xdr:col>
      <xdr:colOff>358140</xdr:colOff>
      <xdr:row>39</xdr:row>
      <xdr:rowOff>304800</xdr:rowOff>
    </xdr:to>
    <xdr:graphicFrame macro="">
      <xdr:nvGraphicFramePr>
        <xdr:cNvPr id="10707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441960</xdr:colOff>
      <xdr:row>31</xdr:row>
      <xdr:rowOff>0</xdr:rowOff>
    </xdr:from>
    <xdr:to>
      <xdr:col>12</xdr:col>
      <xdr:colOff>693420</xdr:colOff>
      <xdr:row>39</xdr:row>
      <xdr:rowOff>304800</xdr:rowOff>
    </xdr:to>
    <xdr:graphicFrame macro="">
      <xdr:nvGraphicFramePr>
        <xdr:cNvPr id="10708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0262" name="Drop Down 22" hidden="1">
              <a:extLst>
                <a:ext uri="{63B3BB69-23CF-44E3-9099-C40C66FF867C}">
                  <a14:compatExt spid="_x0000_s10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285750</xdr:colOff>
          <xdr:row>26</xdr:row>
          <xdr:rowOff>69850</xdr:rowOff>
        </xdr:from>
        <xdr:to>
          <xdr:col>4</xdr:col>
          <xdr:colOff>469900</xdr:colOff>
          <xdr:row>26</xdr:row>
          <xdr:rowOff>285750</xdr:rowOff>
        </xdr:to>
        <xdr:sp macro="" textlink="">
          <xdr:nvSpPr>
            <xdr:cNvPr id="10268" name="obrázek 69" hidden="1">
              <a:extLst>
                <a:ext uri="{63B3BB69-23CF-44E3-9099-C40C66FF867C}">
                  <a14:compatExt spid="_x0000_s10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26</xdr:row>
          <xdr:rowOff>76200</xdr:rowOff>
        </xdr:from>
        <xdr:to>
          <xdr:col>1</xdr:col>
          <xdr:colOff>450850</xdr:colOff>
          <xdr:row>26</xdr:row>
          <xdr:rowOff>228600</xdr:rowOff>
        </xdr:to>
        <xdr:sp macro="" textlink="">
          <xdr:nvSpPr>
            <xdr:cNvPr id="10270" name="obrázek 110" hidden="1">
              <a:extLst>
                <a:ext uri="{63B3BB69-23CF-44E3-9099-C40C66FF867C}">
                  <a14:compatExt spid="_x0000_s10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317500</xdr:colOff>
          <xdr:row>26</xdr:row>
          <xdr:rowOff>88900</xdr:rowOff>
        </xdr:from>
        <xdr:to>
          <xdr:col>7</xdr:col>
          <xdr:colOff>457200</xdr:colOff>
          <xdr:row>26</xdr:row>
          <xdr:rowOff>247650</xdr:rowOff>
        </xdr:to>
        <xdr:sp macro="" textlink="">
          <xdr:nvSpPr>
            <xdr:cNvPr id="10271" name="obrázek 111" hidden="1">
              <a:extLst>
                <a:ext uri="{63B3BB69-23CF-44E3-9099-C40C66FF867C}">
                  <a14:compatExt spid="_x0000_s10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285750</xdr:colOff>
          <xdr:row>28</xdr:row>
          <xdr:rowOff>50800</xdr:rowOff>
        </xdr:from>
        <xdr:to>
          <xdr:col>2</xdr:col>
          <xdr:colOff>438150</xdr:colOff>
          <xdr:row>28</xdr:row>
          <xdr:rowOff>279400</xdr:rowOff>
        </xdr:to>
        <xdr:sp macro="" textlink="">
          <xdr:nvSpPr>
            <xdr:cNvPr id="10272" name="obrázek 71" hidden="1">
              <a:extLst>
                <a:ext uri="{63B3BB69-23CF-44E3-9099-C40C66FF867C}">
                  <a14:compatExt spid="_x0000_s10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28</xdr:row>
          <xdr:rowOff>88900</xdr:rowOff>
        </xdr:from>
        <xdr:to>
          <xdr:col>4</xdr:col>
          <xdr:colOff>450850</xdr:colOff>
          <xdr:row>28</xdr:row>
          <xdr:rowOff>247650</xdr:rowOff>
        </xdr:to>
        <xdr:sp macro="" textlink="">
          <xdr:nvSpPr>
            <xdr:cNvPr id="10273" name="obrázek 112" hidden="1">
              <a:extLst>
                <a:ext uri="{63B3BB69-23CF-44E3-9099-C40C66FF867C}">
                  <a14:compatExt spid="_x0000_s10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28</xdr:row>
          <xdr:rowOff>50800</xdr:rowOff>
        </xdr:from>
        <xdr:to>
          <xdr:col>1</xdr:col>
          <xdr:colOff>552450</xdr:colOff>
          <xdr:row>28</xdr:row>
          <xdr:rowOff>279400</xdr:rowOff>
        </xdr:to>
        <xdr:sp macro="" textlink="">
          <xdr:nvSpPr>
            <xdr:cNvPr id="10274" name="Object 34" hidden="1">
              <a:extLst>
                <a:ext uri="{63B3BB69-23CF-44E3-9099-C40C66FF867C}">
                  <a14:compatExt spid="_x0000_s10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31</xdr:row>
      <xdr:rowOff>7620</xdr:rowOff>
    </xdr:from>
    <xdr:to>
      <xdr:col>6</xdr:col>
      <xdr:colOff>373380</xdr:colOff>
      <xdr:row>39</xdr:row>
      <xdr:rowOff>304800</xdr:rowOff>
    </xdr:to>
    <xdr:graphicFrame macro="">
      <xdr:nvGraphicFramePr>
        <xdr:cNvPr id="45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449580</xdr:colOff>
      <xdr:row>31</xdr:row>
      <xdr:rowOff>22860</xdr:rowOff>
    </xdr:from>
    <xdr:to>
      <xdr:col>12</xdr:col>
      <xdr:colOff>701040</xdr:colOff>
      <xdr:row>39</xdr:row>
      <xdr:rowOff>304800</xdr:rowOff>
    </xdr:to>
    <xdr:graphicFrame macro="">
      <xdr:nvGraphicFramePr>
        <xdr:cNvPr id="45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4156" name="Drop Down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285750</xdr:colOff>
          <xdr:row>28</xdr:row>
          <xdr:rowOff>50800</xdr:rowOff>
        </xdr:from>
        <xdr:to>
          <xdr:col>2</xdr:col>
          <xdr:colOff>438150</xdr:colOff>
          <xdr:row>28</xdr:row>
          <xdr:rowOff>279400</xdr:rowOff>
        </xdr:to>
        <xdr:sp macro="" textlink="">
          <xdr:nvSpPr>
            <xdr:cNvPr id="4157" name="obrázek 7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28</xdr:row>
          <xdr:rowOff>88900</xdr:rowOff>
        </xdr:from>
        <xdr:to>
          <xdr:col>4</xdr:col>
          <xdr:colOff>450850</xdr:colOff>
          <xdr:row>28</xdr:row>
          <xdr:rowOff>247650</xdr:rowOff>
        </xdr:to>
        <xdr:sp macro="" textlink="">
          <xdr:nvSpPr>
            <xdr:cNvPr id="4158" name="obrázek 11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28</xdr:row>
          <xdr:rowOff>50800</xdr:rowOff>
        </xdr:from>
        <xdr:to>
          <xdr:col>1</xdr:col>
          <xdr:colOff>552450</xdr:colOff>
          <xdr:row>28</xdr:row>
          <xdr:rowOff>279400</xdr:rowOff>
        </xdr:to>
        <xdr:sp macro="" textlink="">
          <xdr:nvSpPr>
            <xdr:cNvPr id="4159" name="Object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285750</xdr:colOff>
          <xdr:row>26</xdr:row>
          <xdr:rowOff>69850</xdr:rowOff>
        </xdr:from>
        <xdr:to>
          <xdr:col>4</xdr:col>
          <xdr:colOff>469900</xdr:colOff>
          <xdr:row>26</xdr:row>
          <xdr:rowOff>285750</xdr:rowOff>
        </xdr:to>
        <xdr:sp macro="" textlink="">
          <xdr:nvSpPr>
            <xdr:cNvPr id="4160" name="obrázek 69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26</xdr:row>
          <xdr:rowOff>88900</xdr:rowOff>
        </xdr:from>
        <xdr:to>
          <xdr:col>1</xdr:col>
          <xdr:colOff>450850</xdr:colOff>
          <xdr:row>26</xdr:row>
          <xdr:rowOff>241300</xdr:rowOff>
        </xdr:to>
        <xdr:sp macro="" textlink="">
          <xdr:nvSpPr>
            <xdr:cNvPr id="4162" name="obrázek 110" hidden="1">
              <a:extLst>
                <a:ext uri="{63B3BB69-23CF-44E3-9099-C40C66FF867C}">
                  <a14:compatExt spid="_x0000_s4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336550</xdr:colOff>
          <xdr:row>26</xdr:row>
          <xdr:rowOff>95250</xdr:rowOff>
        </xdr:from>
        <xdr:to>
          <xdr:col>7</xdr:col>
          <xdr:colOff>476250</xdr:colOff>
          <xdr:row>26</xdr:row>
          <xdr:rowOff>260350</xdr:rowOff>
        </xdr:to>
        <xdr:sp macro="" textlink="">
          <xdr:nvSpPr>
            <xdr:cNvPr id="4163" name="obrázek 111" hidden="1">
              <a:extLst>
                <a:ext uri="{63B3BB69-23CF-44E3-9099-C40C66FF867C}">
                  <a14:compatExt spid="_x0000_s4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3</xdr:row>
          <xdr:rowOff>88900</xdr:rowOff>
        </xdr:from>
        <xdr:to>
          <xdr:col>1</xdr:col>
          <xdr:colOff>450850</xdr:colOff>
          <xdr:row>3</xdr:row>
          <xdr:rowOff>241300</xdr:rowOff>
        </xdr:to>
        <xdr:sp macro="" textlink="">
          <xdr:nvSpPr>
            <xdr:cNvPr id="6145" name="obrázek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22</xdr:row>
          <xdr:rowOff>50800</xdr:rowOff>
        </xdr:from>
        <xdr:to>
          <xdr:col>7</xdr:col>
          <xdr:colOff>146050</xdr:colOff>
          <xdr:row>22</xdr:row>
          <xdr:rowOff>285750</xdr:rowOff>
        </xdr:to>
        <xdr:sp macro="" textlink="">
          <xdr:nvSpPr>
            <xdr:cNvPr id="6156" name="obrázek 13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7</xdr:row>
          <xdr:rowOff>57150</xdr:rowOff>
        </xdr:from>
        <xdr:to>
          <xdr:col>0</xdr:col>
          <xdr:colOff>450850</xdr:colOff>
          <xdr:row>7</xdr:row>
          <xdr:rowOff>279400</xdr:rowOff>
        </xdr:to>
        <xdr:sp macro="" textlink="">
          <xdr:nvSpPr>
            <xdr:cNvPr id="6157" name="obrázek 14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7</xdr:row>
          <xdr:rowOff>76200</xdr:rowOff>
        </xdr:from>
        <xdr:to>
          <xdr:col>1</xdr:col>
          <xdr:colOff>508000</xdr:colOff>
          <xdr:row>7</xdr:row>
          <xdr:rowOff>266700</xdr:rowOff>
        </xdr:to>
        <xdr:sp macro="" textlink="">
          <xdr:nvSpPr>
            <xdr:cNvPr id="6158" name="obrázek 15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7</xdr:row>
          <xdr:rowOff>69850</xdr:rowOff>
        </xdr:from>
        <xdr:to>
          <xdr:col>2</xdr:col>
          <xdr:colOff>450850</xdr:colOff>
          <xdr:row>7</xdr:row>
          <xdr:rowOff>260350</xdr:rowOff>
        </xdr:to>
        <xdr:sp macro="" textlink="">
          <xdr:nvSpPr>
            <xdr:cNvPr id="6159" name="obrázek 16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361950</xdr:colOff>
          <xdr:row>34</xdr:row>
          <xdr:rowOff>50800</xdr:rowOff>
        </xdr:from>
        <xdr:to>
          <xdr:col>0</xdr:col>
          <xdr:colOff>704850</xdr:colOff>
          <xdr:row>34</xdr:row>
          <xdr:rowOff>285750</xdr:rowOff>
        </xdr:to>
        <xdr:sp macro="" textlink="">
          <xdr:nvSpPr>
            <xdr:cNvPr id="6160" name="obrázek 25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6172" name="Drop Down 28" hidden="1">
              <a:extLst>
                <a:ext uri="{63B3BB69-23CF-44E3-9099-C40C66FF867C}">
                  <a14:compatExt spid="_x0000_s6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43</xdr:row>
          <xdr:rowOff>88900</xdr:rowOff>
        </xdr:from>
        <xdr:to>
          <xdr:col>1</xdr:col>
          <xdr:colOff>450850</xdr:colOff>
          <xdr:row>43</xdr:row>
          <xdr:rowOff>241300</xdr:rowOff>
        </xdr:to>
        <xdr:sp macro="" textlink="">
          <xdr:nvSpPr>
            <xdr:cNvPr id="6175" name="obrázek 1" hidden="1">
              <a:extLst>
                <a:ext uri="{63B3BB69-23CF-44E3-9099-C40C66FF867C}">
                  <a14:compatExt spid="_x0000_s6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62</xdr:row>
          <xdr:rowOff>50800</xdr:rowOff>
        </xdr:from>
        <xdr:to>
          <xdr:col>7</xdr:col>
          <xdr:colOff>146050</xdr:colOff>
          <xdr:row>62</xdr:row>
          <xdr:rowOff>285750</xdr:rowOff>
        </xdr:to>
        <xdr:sp macro="" textlink="">
          <xdr:nvSpPr>
            <xdr:cNvPr id="6176" name="obrázek 13" hidden="1">
              <a:extLst>
                <a:ext uri="{63B3BB69-23CF-44E3-9099-C40C66FF867C}">
                  <a14:compatExt spid="_x0000_s6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47</xdr:row>
          <xdr:rowOff>57150</xdr:rowOff>
        </xdr:from>
        <xdr:to>
          <xdr:col>0</xdr:col>
          <xdr:colOff>450850</xdr:colOff>
          <xdr:row>47</xdr:row>
          <xdr:rowOff>279400</xdr:rowOff>
        </xdr:to>
        <xdr:sp macro="" textlink="">
          <xdr:nvSpPr>
            <xdr:cNvPr id="6177" name="obrázek 14" hidden="1">
              <a:extLst>
                <a:ext uri="{63B3BB69-23CF-44E3-9099-C40C66FF867C}">
                  <a14:compatExt spid="_x0000_s6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47</xdr:row>
          <xdr:rowOff>76200</xdr:rowOff>
        </xdr:from>
        <xdr:to>
          <xdr:col>1</xdr:col>
          <xdr:colOff>508000</xdr:colOff>
          <xdr:row>47</xdr:row>
          <xdr:rowOff>266700</xdr:rowOff>
        </xdr:to>
        <xdr:sp macro="" textlink="">
          <xdr:nvSpPr>
            <xdr:cNvPr id="6178" name="obrázek 15" hidden="1">
              <a:extLst>
                <a:ext uri="{63B3BB69-23CF-44E3-9099-C40C66FF867C}">
                  <a14:compatExt spid="_x0000_s6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47</xdr:row>
          <xdr:rowOff>69850</xdr:rowOff>
        </xdr:from>
        <xdr:to>
          <xdr:col>2</xdr:col>
          <xdr:colOff>450850</xdr:colOff>
          <xdr:row>47</xdr:row>
          <xdr:rowOff>260350</xdr:rowOff>
        </xdr:to>
        <xdr:sp macro="" textlink="">
          <xdr:nvSpPr>
            <xdr:cNvPr id="6179" name="obrázek 16" hidden="1">
              <a:extLst>
                <a:ext uri="{63B3BB69-23CF-44E3-9099-C40C66FF867C}">
                  <a14:compatExt spid="_x0000_s6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15</xdr:row>
          <xdr:rowOff>133350</xdr:rowOff>
        </xdr:from>
        <xdr:to>
          <xdr:col>1</xdr:col>
          <xdr:colOff>685800</xdr:colOff>
          <xdr:row>17</xdr:row>
          <xdr:rowOff>95250</xdr:rowOff>
        </xdr:to>
        <xdr:sp macro="" textlink="">
          <xdr:nvSpPr>
            <xdr:cNvPr id="6204" name="Group Box 60" hidden="1">
              <a:extLst>
                <a:ext uri="{63B3BB69-23CF-44E3-9099-C40C66FF867C}">
                  <a14:compatExt spid="_x0000_s6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15</xdr:row>
          <xdr:rowOff>133350</xdr:rowOff>
        </xdr:from>
        <xdr:to>
          <xdr:col>6</xdr:col>
          <xdr:colOff>723900</xdr:colOff>
          <xdr:row>17</xdr:row>
          <xdr:rowOff>95250</xdr:rowOff>
        </xdr:to>
        <xdr:sp macro="" textlink="">
          <xdr:nvSpPr>
            <xdr:cNvPr id="6205" name="Group Box 61" hidden="1">
              <a:extLst>
                <a:ext uri="{63B3BB69-23CF-44E3-9099-C40C66FF867C}">
                  <a14:compatExt spid="_x0000_s6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16</xdr:row>
          <xdr:rowOff>19050</xdr:rowOff>
        </xdr:from>
        <xdr:to>
          <xdr:col>3</xdr:col>
          <xdr:colOff>95250</xdr:colOff>
          <xdr:row>16</xdr:row>
          <xdr:rowOff>241300</xdr:rowOff>
        </xdr:to>
        <xdr:sp macro="" textlink="">
          <xdr:nvSpPr>
            <xdr:cNvPr id="6206" name="Option Button 62" hidden="1">
              <a:extLst>
                <a:ext uri="{63B3BB69-23CF-44E3-9099-C40C66FF867C}">
                  <a14:compatExt spid="_x0000_s6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16</xdr:row>
          <xdr:rowOff>19050</xdr:rowOff>
        </xdr:from>
        <xdr:to>
          <xdr:col>4</xdr:col>
          <xdr:colOff>400050</xdr:colOff>
          <xdr:row>16</xdr:row>
          <xdr:rowOff>247650</xdr:rowOff>
        </xdr:to>
        <xdr:sp macro="" textlink="">
          <xdr:nvSpPr>
            <xdr:cNvPr id="6207" name="Option Button 63" hidden="1">
              <a:extLst>
                <a:ext uri="{63B3BB69-23CF-44E3-9099-C40C66FF867C}">
                  <a14:compatExt spid="_x0000_s6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476250</xdr:colOff>
          <xdr:row>16</xdr:row>
          <xdr:rowOff>31750</xdr:rowOff>
        </xdr:from>
        <xdr:to>
          <xdr:col>6</xdr:col>
          <xdr:colOff>50800</xdr:colOff>
          <xdr:row>16</xdr:row>
          <xdr:rowOff>247650</xdr:rowOff>
        </xdr:to>
        <xdr:sp macro="" textlink="">
          <xdr:nvSpPr>
            <xdr:cNvPr id="6208" name="Option Button 64" hidden="1">
              <a:extLst>
                <a:ext uri="{63B3BB69-23CF-44E3-9099-C40C66FF867C}">
                  <a14:compatExt spid="_x0000_s6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16</xdr:row>
          <xdr:rowOff>50800</xdr:rowOff>
        </xdr:from>
        <xdr:to>
          <xdr:col>3</xdr:col>
          <xdr:colOff>488950</xdr:colOff>
          <xdr:row>16</xdr:row>
          <xdr:rowOff>266700</xdr:rowOff>
        </xdr:to>
        <xdr:sp macro="" textlink="">
          <xdr:nvSpPr>
            <xdr:cNvPr id="6210" name="obrázek 71" hidden="1">
              <a:extLst>
                <a:ext uri="{63B3BB69-23CF-44E3-9099-C40C66FF867C}">
                  <a14:compatExt spid="_x0000_s6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16</xdr:row>
          <xdr:rowOff>50800</xdr:rowOff>
        </xdr:from>
        <xdr:to>
          <xdr:col>5</xdr:col>
          <xdr:colOff>69850</xdr:colOff>
          <xdr:row>16</xdr:row>
          <xdr:rowOff>260350</xdr:rowOff>
        </xdr:to>
        <xdr:sp macro="" textlink="">
          <xdr:nvSpPr>
            <xdr:cNvPr id="6211" name="obrázek 71" hidden="1">
              <a:extLst>
                <a:ext uri="{63B3BB69-23CF-44E3-9099-C40C66FF867C}">
                  <a14:compatExt spid="_x0000_s62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50800</xdr:rowOff>
        </xdr:from>
        <xdr:to>
          <xdr:col>6</xdr:col>
          <xdr:colOff>457200</xdr:colOff>
          <xdr:row>16</xdr:row>
          <xdr:rowOff>266700</xdr:rowOff>
        </xdr:to>
        <xdr:sp macro="" textlink="">
          <xdr:nvSpPr>
            <xdr:cNvPr id="6212" name="obrázek 71" hidden="1">
              <a:extLst>
                <a:ext uri="{63B3BB69-23CF-44E3-9099-C40C66FF867C}">
                  <a14:compatExt spid="_x0000_s62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32</xdr:row>
          <xdr:rowOff>50800</xdr:rowOff>
        </xdr:from>
        <xdr:to>
          <xdr:col>1</xdr:col>
          <xdr:colOff>285750</xdr:colOff>
          <xdr:row>32</xdr:row>
          <xdr:rowOff>279400</xdr:rowOff>
        </xdr:to>
        <xdr:sp macro="" textlink="">
          <xdr:nvSpPr>
            <xdr:cNvPr id="6217" name="obrázek 71" hidden="1">
              <a:extLst>
                <a:ext uri="{63B3BB69-23CF-44E3-9099-C40C66FF867C}">
                  <a14:compatExt spid="_x0000_s6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32</xdr:row>
          <xdr:rowOff>19050</xdr:rowOff>
        </xdr:from>
        <xdr:to>
          <xdr:col>5</xdr:col>
          <xdr:colOff>171450</xdr:colOff>
          <xdr:row>32</xdr:row>
          <xdr:rowOff>260350</xdr:rowOff>
        </xdr:to>
        <xdr:sp macro="" textlink="">
          <xdr:nvSpPr>
            <xdr:cNvPr id="6218" name="obrázek 73" hidden="1">
              <a:extLst>
                <a:ext uri="{63B3BB69-23CF-44E3-9099-C40C66FF867C}">
                  <a14:compatExt spid="_x0000_s6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32</xdr:row>
          <xdr:rowOff>31750</xdr:rowOff>
        </xdr:from>
        <xdr:to>
          <xdr:col>6</xdr:col>
          <xdr:colOff>527050</xdr:colOff>
          <xdr:row>32</xdr:row>
          <xdr:rowOff>266700</xdr:rowOff>
        </xdr:to>
        <xdr:sp macro="" textlink="">
          <xdr:nvSpPr>
            <xdr:cNvPr id="6219" name="obrázek 74" hidden="1">
              <a:extLst>
                <a:ext uri="{63B3BB69-23CF-44E3-9099-C40C66FF867C}">
                  <a14:compatExt spid="_x0000_s6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32</xdr:row>
          <xdr:rowOff>12700</xdr:rowOff>
        </xdr:from>
        <xdr:to>
          <xdr:col>3</xdr:col>
          <xdr:colOff>590550</xdr:colOff>
          <xdr:row>32</xdr:row>
          <xdr:rowOff>247650</xdr:rowOff>
        </xdr:to>
        <xdr:sp macro="" textlink="">
          <xdr:nvSpPr>
            <xdr:cNvPr id="6220" name="obrázek 72" hidden="1">
              <a:extLst>
                <a:ext uri="{63B3BB69-23CF-44E3-9099-C40C66FF867C}">
                  <a14:compatExt spid="_x0000_s6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31</xdr:row>
          <xdr:rowOff>152400</xdr:rowOff>
        </xdr:from>
        <xdr:to>
          <xdr:col>1</xdr:col>
          <xdr:colOff>685800</xdr:colOff>
          <xdr:row>33</xdr:row>
          <xdr:rowOff>114300</xdr:rowOff>
        </xdr:to>
        <xdr:sp macro="" textlink="">
          <xdr:nvSpPr>
            <xdr:cNvPr id="6221" name="Group Box 77" hidden="1">
              <a:extLst>
                <a:ext uri="{63B3BB69-23CF-44E3-9099-C40C66FF867C}">
                  <a14:compatExt spid="_x0000_s6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31</xdr:row>
          <xdr:rowOff>152400</xdr:rowOff>
        </xdr:from>
        <xdr:to>
          <xdr:col>6</xdr:col>
          <xdr:colOff>723900</xdr:colOff>
          <xdr:row>33</xdr:row>
          <xdr:rowOff>114300</xdr:rowOff>
        </xdr:to>
        <xdr:sp macro="" textlink="">
          <xdr:nvSpPr>
            <xdr:cNvPr id="6222" name="Group Box 78" hidden="1">
              <a:extLst>
                <a:ext uri="{63B3BB69-23CF-44E3-9099-C40C66FF867C}">
                  <a14:compatExt spid="_x0000_s6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533400</xdr:colOff>
          <xdr:row>32</xdr:row>
          <xdr:rowOff>12700</xdr:rowOff>
        </xdr:from>
        <xdr:to>
          <xdr:col>3</xdr:col>
          <xdr:colOff>114300</xdr:colOff>
          <xdr:row>32</xdr:row>
          <xdr:rowOff>228600</xdr:rowOff>
        </xdr:to>
        <xdr:sp macro="" textlink="">
          <xdr:nvSpPr>
            <xdr:cNvPr id="6223" name="Option Button 79" hidden="1">
              <a:extLst>
                <a:ext uri="{63B3BB69-23CF-44E3-9099-C40C66FF867C}">
                  <a14:compatExt spid="_x0000_s6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32</xdr:row>
          <xdr:rowOff>31750</xdr:rowOff>
        </xdr:from>
        <xdr:to>
          <xdr:col>4</xdr:col>
          <xdr:colOff>438150</xdr:colOff>
          <xdr:row>32</xdr:row>
          <xdr:rowOff>247650</xdr:rowOff>
        </xdr:to>
        <xdr:sp macro="" textlink="">
          <xdr:nvSpPr>
            <xdr:cNvPr id="6224" name="Option Button 80" hidden="1">
              <a:extLst>
                <a:ext uri="{63B3BB69-23CF-44E3-9099-C40C66FF867C}">
                  <a14:compatExt spid="_x0000_s6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476250</xdr:colOff>
          <xdr:row>32</xdr:row>
          <xdr:rowOff>31750</xdr:rowOff>
        </xdr:from>
        <xdr:to>
          <xdr:col>6</xdr:col>
          <xdr:colOff>50800</xdr:colOff>
          <xdr:row>32</xdr:row>
          <xdr:rowOff>247650</xdr:rowOff>
        </xdr:to>
        <xdr:sp macro="" textlink="">
          <xdr:nvSpPr>
            <xdr:cNvPr id="6225" name="Option Button 81" hidden="1">
              <a:extLst>
                <a:ext uri="{63B3BB69-23CF-44E3-9099-C40C66FF867C}">
                  <a14:compatExt spid="_x0000_s6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55</xdr:row>
          <xdr:rowOff>146050</xdr:rowOff>
        </xdr:from>
        <xdr:to>
          <xdr:col>1</xdr:col>
          <xdr:colOff>685800</xdr:colOff>
          <xdr:row>57</xdr:row>
          <xdr:rowOff>107950</xdr:rowOff>
        </xdr:to>
        <xdr:sp macro="" textlink="">
          <xdr:nvSpPr>
            <xdr:cNvPr id="6229" name="Group Box 85" hidden="1">
              <a:extLst>
                <a:ext uri="{63B3BB69-23CF-44E3-9099-C40C66FF867C}">
                  <a14:compatExt spid="_x0000_s6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56</xdr:row>
          <xdr:rowOff>19050</xdr:rowOff>
        </xdr:from>
        <xdr:to>
          <xdr:col>3</xdr:col>
          <xdr:colOff>107950</xdr:colOff>
          <xdr:row>56</xdr:row>
          <xdr:rowOff>241300</xdr:rowOff>
        </xdr:to>
        <xdr:sp macro="" textlink="">
          <xdr:nvSpPr>
            <xdr:cNvPr id="6231" name="Option Button 87" hidden="1">
              <a:extLst>
                <a:ext uri="{63B3BB69-23CF-44E3-9099-C40C66FF867C}">
                  <a14:compatExt spid="_x0000_s6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56</xdr:row>
          <xdr:rowOff>50800</xdr:rowOff>
        </xdr:from>
        <xdr:to>
          <xdr:col>4</xdr:col>
          <xdr:colOff>342900</xdr:colOff>
          <xdr:row>56</xdr:row>
          <xdr:rowOff>266700</xdr:rowOff>
        </xdr:to>
        <xdr:sp macro="" textlink="">
          <xdr:nvSpPr>
            <xdr:cNvPr id="6232" name="Option Button 88" hidden="1">
              <a:extLst>
                <a:ext uri="{63B3BB69-23CF-44E3-9099-C40C66FF867C}">
                  <a14:compatExt spid="_x0000_s6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56</xdr:row>
          <xdr:rowOff>50800</xdr:rowOff>
        </xdr:from>
        <xdr:to>
          <xdr:col>6</xdr:col>
          <xdr:colOff>12700</xdr:colOff>
          <xdr:row>56</xdr:row>
          <xdr:rowOff>260350</xdr:rowOff>
        </xdr:to>
        <xdr:sp macro="" textlink="">
          <xdr:nvSpPr>
            <xdr:cNvPr id="6233" name="Option Button 89" hidden="1">
              <a:extLst>
                <a:ext uri="{63B3BB69-23CF-44E3-9099-C40C66FF867C}">
                  <a14:compatExt spid="_x0000_s6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361950</xdr:colOff>
          <xdr:row>74</xdr:row>
          <xdr:rowOff>50800</xdr:rowOff>
        </xdr:from>
        <xdr:to>
          <xdr:col>0</xdr:col>
          <xdr:colOff>704850</xdr:colOff>
          <xdr:row>74</xdr:row>
          <xdr:rowOff>285750</xdr:rowOff>
        </xdr:to>
        <xdr:sp macro="" textlink="">
          <xdr:nvSpPr>
            <xdr:cNvPr id="6238" name="obrázek 25" hidden="1">
              <a:extLst>
                <a:ext uri="{63B3BB69-23CF-44E3-9099-C40C66FF867C}">
                  <a14:compatExt spid="_x0000_s6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527050</xdr:colOff>
          <xdr:row>72</xdr:row>
          <xdr:rowOff>50800</xdr:rowOff>
        </xdr:from>
        <xdr:to>
          <xdr:col>1</xdr:col>
          <xdr:colOff>285750</xdr:colOff>
          <xdr:row>72</xdr:row>
          <xdr:rowOff>285750</xdr:rowOff>
        </xdr:to>
        <xdr:sp macro="" textlink="">
          <xdr:nvSpPr>
            <xdr:cNvPr id="6239" name="obrázek 71" hidden="1">
              <a:extLst>
                <a:ext uri="{63B3BB69-23CF-44E3-9099-C40C66FF867C}">
                  <a14:compatExt spid="_x0000_s6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71</xdr:row>
          <xdr:rowOff>165100</xdr:rowOff>
        </xdr:from>
        <xdr:to>
          <xdr:col>1</xdr:col>
          <xdr:colOff>685800</xdr:colOff>
          <xdr:row>73</xdr:row>
          <xdr:rowOff>127000</xdr:rowOff>
        </xdr:to>
        <xdr:sp macro="" textlink="">
          <xdr:nvSpPr>
            <xdr:cNvPr id="6243" name="Group Box 99" hidden="1">
              <a:extLst>
                <a:ext uri="{63B3BB69-23CF-44E3-9099-C40C66FF867C}">
                  <a14:compatExt spid="_x0000_s6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533400</xdr:colOff>
          <xdr:row>72</xdr:row>
          <xdr:rowOff>31750</xdr:rowOff>
        </xdr:from>
        <xdr:to>
          <xdr:col>3</xdr:col>
          <xdr:colOff>114300</xdr:colOff>
          <xdr:row>72</xdr:row>
          <xdr:rowOff>247650</xdr:rowOff>
        </xdr:to>
        <xdr:sp macro="" textlink="">
          <xdr:nvSpPr>
            <xdr:cNvPr id="6245" name="Option Button 101" hidden="1">
              <a:extLst>
                <a:ext uri="{63B3BB69-23CF-44E3-9099-C40C66FF867C}">
                  <a14:compatExt spid="_x0000_s62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107950</xdr:colOff>
          <xdr:row>72</xdr:row>
          <xdr:rowOff>50800</xdr:rowOff>
        </xdr:from>
        <xdr:to>
          <xdr:col>4</xdr:col>
          <xdr:colOff>412750</xdr:colOff>
          <xdr:row>72</xdr:row>
          <xdr:rowOff>266700</xdr:rowOff>
        </xdr:to>
        <xdr:sp macro="" textlink="">
          <xdr:nvSpPr>
            <xdr:cNvPr id="6246" name="Option Button 102" hidden="1">
              <a:extLst>
                <a:ext uri="{63B3BB69-23CF-44E3-9099-C40C66FF867C}">
                  <a14:compatExt spid="_x0000_s62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450850</xdr:colOff>
          <xdr:row>72</xdr:row>
          <xdr:rowOff>50800</xdr:rowOff>
        </xdr:from>
        <xdr:to>
          <xdr:col>6</xdr:col>
          <xdr:colOff>31750</xdr:colOff>
          <xdr:row>72</xdr:row>
          <xdr:rowOff>266700</xdr:rowOff>
        </xdr:to>
        <xdr:sp macro="" textlink="">
          <xdr:nvSpPr>
            <xdr:cNvPr id="6247" name="Option Button 103" hidden="1">
              <a:extLst>
                <a:ext uri="{63B3BB69-23CF-44E3-9099-C40C66FF867C}">
                  <a14:compatExt spid="_x0000_s6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584200</xdr:colOff>
          <xdr:row>56</xdr:row>
          <xdr:rowOff>31750</xdr:rowOff>
        </xdr:from>
        <xdr:to>
          <xdr:col>1</xdr:col>
          <xdr:colOff>266700</xdr:colOff>
          <xdr:row>56</xdr:row>
          <xdr:rowOff>247650</xdr:rowOff>
        </xdr:to>
        <xdr:sp macro="" textlink="">
          <xdr:nvSpPr>
            <xdr:cNvPr id="6253" name="obrázek 71" hidden="1">
              <a:extLst>
                <a:ext uri="{63B3BB69-23CF-44E3-9099-C40C66FF867C}">
                  <a14:compatExt spid="_x0000_s6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584200</xdr:colOff>
          <xdr:row>16</xdr:row>
          <xdr:rowOff>50800</xdr:rowOff>
        </xdr:from>
        <xdr:to>
          <xdr:col>1</xdr:col>
          <xdr:colOff>266700</xdr:colOff>
          <xdr:row>16</xdr:row>
          <xdr:rowOff>260350</xdr:rowOff>
        </xdr:to>
        <xdr:sp macro="" textlink="">
          <xdr:nvSpPr>
            <xdr:cNvPr id="6254" name="obrázek 71" hidden="1">
              <a:extLst>
                <a:ext uri="{63B3BB69-23CF-44E3-9099-C40C66FF867C}">
                  <a14:compatExt spid="_x0000_s6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55</xdr:row>
          <xdr:rowOff>146050</xdr:rowOff>
        </xdr:from>
        <xdr:to>
          <xdr:col>6</xdr:col>
          <xdr:colOff>723900</xdr:colOff>
          <xdr:row>57</xdr:row>
          <xdr:rowOff>107950</xdr:rowOff>
        </xdr:to>
        <xdr:sp macro="" textlink="">
          <xdr:nvSpPr>
            <xdr:cNvPr id="6259" name="Group Box 115" hidden="1">
              <a:extLst>
                <a:ext uri="{63B3BB69-23CF-44E3-9099-C40C66FF867C}">
                  <a14:compatExt spid="_x0000_s6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56</xdr:row>
          <xdr:rowOff>50800</xdr:rowOff>
        </xdr:from>
        <xdr:to>
          <xdr:col>3</xdr:col>
          <xdr:colOff>488950</xdr:colOff>
          <xdr:row>56</xdr:row>
          <xdr:rowOff>266700</xdr:rowOff>
        </xdr:to>
        <xdr:sp macro="" textlink="">
          <xdr:nvSpPr>
            <xdr:cNvPr id="6260" name="obrázek 71" hidden="1">
              <a:extLst>
                <a:ext uri="{63B3BB69-23CF-44E3-9099-C40C66FF867C}">
                  <a14:compatExt spid="_x0000_s62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56</xdr:row>
          <xdr:rowOff>50800</xdr:rowOff>
        </xdr:from>
        <xdr:to>
          <xdr:col>5</xdr:col>
          <xdr:colOff>69850</xdr:colOff>
          <xdr:row>56</xdr:row>
          <xdr:rowOff>266700</xdr:rowOff>
        </xdr:to>
        <xdr:sp macro="" textlink="">
          <xdr:nvSpPr>
            <xdr:cNvPr id="6261" name="obrázek 71" hidden="1">
              <a:extLst>
                <a:ext uri="{63B3BB69-23CF-44E3-9099-C40C66FF867C}">
                  <a14:compatExt spid="_x0000_s62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56</xdr:row>
          <xdr:rowOff>50800</xdr:rowOff>
        </xdr:from>
        <xdr:to>
          <xdr:col>6</xdr:col>
          <xdr:colOff>457200</xdr:colOff>
          <xdr:row>56</xdr:row>
          <xdr:rowOff>266700</xdr:rowOff>
        </xdr:to>
        <xdr:sp macro="" textlink="">
          <xdr:nvSpPr>
            <xdr:cNvPr id="6262" name="obrázek 71" hidden="1">
              <a:extLst>
                <a:ext uri="{63B3BB69-23CF-44E3-9099-C40C66FF867C}">
                  <a14:compatExt spid="_x0000_s6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412750</xdr:colOff>
          <xdr:row>72</xdr:row>
          <xdr:rowOff>31750</xdr:rowOff>
        </xdr:from>
        <xdr:to>
          <xdr:col>5</xdr:col>
          <xdr:colOff>171450</xdr:colOff>
          <xdr:row>72</xdr:row>
          <xdr:rowOff>266700</xdr:rowOff>
        </xdr:to>
        <xdr:sp macro="" textlink="">
          <xdr:nvSpPr>
            <xdr:cNvPr id="6263" name="obrázek 73" hidden="1">
              <a:extLst>
                <a:ext uri="{63B3BB69-23CF-44E3-9099-C40C66FF867C}">
                  <a14:compatExt spid="_x0000_s6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72</xdr:row>
          <xdr:rowOff>50800</xdr:rowOff>
        </xdr:from>
        <xdr:to>
          <xdr:col>6</xdr:col>
          <xdr:colOff>514350</xdr:colOff>
          <xdr:row>72</xdr:row>
          <xdr:rowOff>285750</xdr:rowOff>
        </xdr:to>
        <xdr:sp macro="" textlink="">
          <xdr:nvSpPr>
            <xdr:cNvPr id="6264" name="obrázek 74" hidden="1">
              <a:extLst>
                <a:ext uri="{63B3BB69-23CF-44E3-9099-C40C66FF867C}">
                  <a14:compatExt spid="_x0000_s6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72</xdr:row>
          <xdr:rowOff>19050</xdr:rowOff>
        </xdr:from>
        <xdr:to>
          <xdr:col>3</xdr:col>
          <xdr:colOff>590550</xdr:colOff>
          <xdr:row>72</xdr:row>
          <xdr:rowOff>260350</xdr:rowOff>
        </xdr:to>
        <xdr:sp macro="" textlink="">
          <xdr:nvSpPr>
            <xdr:cNvPr id="6265" name="obrázek 72" hidden="1">
              <a:extLst>
                <a:ext uri="{63B3BB69-23CF-44E3-9099-C40C66FF867C}">
                  <a14:compatExt spid="_x0000_s6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71</xdr:row>
          <xdr:rowOff>165100</xdr:rowOff>
        </xdr:from>
        <xdr:to>
          <xdr:col>7</xdr:col>
          <xdr:colOff>0</xdr:colOff>
          <xdr:row>73</xdr:row>
          <xdr:rowOff>127000</xdr:rowOff>
        </xdr:to>
        <xdr:sp macro="" textlink="">
          <xdr:nvSpPr>
            <xdr:cNvPr id="6266" name="Group Box 122" hidden="1">
              <a:extLst>
                <a:ext uri="{63B3BB69-23CF-44E3-9099-C40C66FF867C}">
                  <a14:compatExt spid="_x0000_s6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336550</xdr:colOff>
          <xdr:row>3</xdr:row>
          <xdr:rowOff>76200</xdr:rowOff>
        </xdr:from>
        <xdr:to>
          <xdr:col>1</xdr:col>
          <xdr:colOff>469900</xdr:colOff>
          <xdr:row>3</xdr:row>
          <xdr:rowOff>228600</xdr:rowOff>
        </xdr:to>
        <xdr:sp macro="" textlink="">
          <xdr:nvSpPr>
            <xdr:cNvPr id="14337" name="obrázek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7</xdr:row>
          <xdr:rowOff>57150</xdr:rowOff>
        </xdr:from>
        <xdr:to>
          <xdr:col>0</xdr:col>
          <xdr:colOff>450850</xdr:colOff>
          <xdr:row>7</xdr:row>
          <xdr:rowOff>279400</xdr:rowOff>
        </xdr:to>
        <xdr:sp macro="" textlink="">
          <xdr:nvSpPr>
            <xdr:cNvPr id="14341" name="obrázek 14" hidden="1">
              <a:extLst>
                <a:ext uri="{63B3BB69-23CF-44E3-9099-C40C66FF867C}">
                  <a14:compatExt spid="_x0000_s143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7</xdr:row>
          <xdr:rowOff>76200</xdr:rowOff>
        </xdr:from>
        <xdr:to>
          <xdr:col>1</xdr:col>
          <xdr:colOff>508000</xdr:colOff>
          <xdr:row>7</xdr:row>
          <xdr:rowOff>266700</xdr:rowOff>
        </xdr:to>
        <xdr:sp macro="" textlink="">
          <xdr:nvSpPr>
            <xdr:cNvPr id="14342" name="obrázek 15" hidden="1">
              <a:extLst>
                <a:ext uri="{63B3BB69-23CF-44E3-9099-C40C66FF867C}">
                  <a14:compatExt spid="_x0000_s14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7</xdr:row>
          <xdr:rowOff>69850</xdr:rowOff>
        </xdr:from>
        <xdr:to>
          <xdr:col>2</xdr:col>
          <xdr:colOff>450850</xdr:colOff>
          <xdr:row>7</xdr:row>
          <xdr:rowOff>260350</xdr:rowOff>
        </xdr:to>
        <xdr:sp macro="" textlink="">
          <xdr:nvSpPr>
            <xdr:cNvPr id="14343" name="obrázek 16" hidden="1">
              <a:extLst>
                <a:ext uri="{63B3BB69-23CF-44E3-9099-C40C66FF867C}">
                  <a14:compatExt spid="_x0000_s14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4351" name="Drop Down 15" hidden="1">
              <a:extLst>
                <a:ext uri="{63B3BB69-23CF-44E3-9099-C40C66FF867C}">
                  <a14:compatExt spid="_x0000_s14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3</xdr:row>
          <xdr:rowOff>95250</xdr:rowOff>
        </xdr:from>
        <xdr:to>
          <xdr:col>1</xdr:col>
          <xdr:colOff>450850</xdr:colOff>
          <xdr:row>3</xdr:row>
          <xdr:rowOff>247650</xdr:rowOff>
        </xdr:to>
        <xdr:sp macro="" textlink="">
          <xdr:nvSpPr>
            <xdr:cNvPr id="14352" name="obrázek 1" hidden="1">
              <a:extLst>
                <a:ext uri="{63B3BB69-23CF-44E3-9099-C40C66FF867C}">
                  <a14:compatExt spid="_x0000_s14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336550</xdr:colOff>
          <xdr:row>27</xdr:row>
          <xdr:rowOff>76200</xdr:rowOff>
        </xdr:from>
        <xdr:to>
          <xdr:col>1</xdr:col>
          <xdr:colOff>469900</xdr:colOff>
          <xdr:row>27</xdr:row>
          <xdr:rowOff>228600</xdr:rowOff>
        </xdr:to>
        <xdr:sp macro="" textlink="">
          <xdr:nvSpPr>
            <xdr:cNvPr id="14358" name="obrázek 1" hidden="1">
              <a:extLst>
                <a:ext uri="{63B3BB69-23CF-44E3-9099-C40C66FF867C}">
                  <a14:compatExt spid="_x0000_s14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31</xdr:row>
          <xdr:rowOff>57150</xdr:rowOff>
        </xdr:from>
        <xdr:to>
          <xdr:col>0</xdr:col>
          <xdr:colOff>450850</xdr:colOff>
          <xdr:row>31</xdr:row>
          <xdr:rowOff>279400</xdr:rowOff>
        </xdr:to>
        <xdr:sp macro="" textlink="">
          <xdr:nvSpPr>
            <xdr:cNvPr id="14359" name="obrázek 14" hidden="1">
              <a:extLst>
                <a:ext uri="{63B3BB69-23CF-44E3-9099-C40C66FF867C}">
                  <a14:compatExt spid="_x0000_s14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31</xdr:row>
          <xdr:rowOff>76200</xdr:rowOff>
        </xdr:from>
        <xdr:to>
          <xdr:col>1</xdr:col>
          <xdr:colOff>508000</xdr:colOff>
          <xdr:row>31</xdr:row>
          <xdr:rowOff>266700</xdr:rowOff>
        </xdr:to>
        <xdr:sp macro="" textlink="">
          <xdr:nvSpPr>
            <xdr:cNvPr id="14360" name="obrázek 15" hidden="1">
              <a:extLst>
                <a:ext uri="{63B3BB69-23CF-44E3-9099-C40C66FF867C}">
                  <a14:compatExt spid="_x0000_s14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31</xdr:row>
          <xdr:rowOff>69850</xdr:rowOff>
        </xdr:from>
        <xdr:to>
          <xdr:col>2</xdr:col>
          <xdr:colOff>450850</xdr:colOff>
          <xdr:row>31</xdr:row>
          <xdr:rowOff>260350</xdr:rowOff>
        </xdr:to>
        <xdr:sp macro="" textlink="">
          <xdr:nvSpPr>
            <xdr:cNvPr id="14361" name="obrázek 16" hidden="1">
              <a:extLst>
                <a:ext uri="{63B3BB69-23CF-44E3-9099-C40C66FF867C}">
                  <a14:compatExt spid="_x0000_s14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27</xdr:row>
          <xdr:rowOff>95250</xdr:rowOff>
        </xdr:from>
        <xdr:to>
          <xdr:col>1</xdr:col>
          <xdr:colOff>450850</xdr:colOff>
          <xdr:row>27</xdr:row>
          <xdr:rowOff>247650</xdr:rowOff>
        </xdr:to>
        <xdr:sp macro="" textlink="">
          <xdr:nvSpPr>
            <xdr:cNvPr id="14362" name="obrázek 1" hidden="1">
              <a:extLst>
                <a:ext uri="{63B3BB69-23CF-44E3-9099-C40C66FF867C}">
                  <a14:compatExt spid="_x0000_s14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15</xdr:row>
          <xdr:rowOff>165100</xdr:rowOff>
        </xdr:from>
        <xdr:to>
          <xdr:col>1</xdr:col>
          <xdr:colOff>685800</xdr:colOff>
          <xdr:row>17</xdr:row>
          <xdr:rowOff>127000</xdr:rowOff>
        </xdr:to>
        <xdr:sp macro="" textlink="">
          <xdr:nvSpPr>
            <xdr:cNvPr id="14364" name="Group Box 28" hidden="1">
              <a:extLst>
                <a:ext uri="{63B3BB69-23CF-44E3-9099-C40C66FF867C}">
                  <a14:compatExt spid="_x0000_s14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16</xdr:row>
          <xdr:rowOff>50800</xdr:rowOff>
        </xdr:from>
        <xdr:to>
          <xdr:col>3</xdr:col>
          <xdr:colOff>107950</xdr:colOff>
          <xdr:row>16</xdr:row>
          <xdr:rowOff>279400</xdr:rowOff>
        </xdr:to>
        <xdr:sp macro="" textlink="">
          <xdr:nvSpPr>
            <xdr:cNvPr id="14366" name="Option Button 30" hidden="1">
              <a:extLst>
                <a:ext uri="{63B3BB69-23CF-44E3-9099-C40C66FF867C}">
                  <a14:compatExt spid="_x0000_s14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16</xdr:row>
          <xdr:rowOff>50800</xdr:rowOff>
        </xdr:from>
        <xdr:to>
          <xdr:col>4</xdr:col>
          <xdr:colOff>476250</xdr:colOff>
          <xdr:row>16</xdr:row>
          <xdr:rowOff>266700</xdr:rowOff>
        </xdr:to>
        <xdr:sp macro="" textlink="">
          <xdr:nvSpPr>
            <xdr:cNvPr id="14367" name="Option Button 31" hidden="1">
              <a:extLst>
                <a:ext uri="{63B3BB69-23CF-44E3-9099-C40C66FF867C}">
                  <a14:compatExt spid="_x0000_s14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488950</xdr:colOff>
          <xdr:row>16</xdr:row>
          <xdr:rowOff>50800</xdr:rowOff>
        </xdr:from>
        <xdr:to>
          <xdr:col>6</xdr:col>
          <xdr:colOff>57150</xdr:colOff>
          <xdr:row>16</xdr:row>
          <xdr:rowOff>266700</xdr:rowOff>
        </xdr:to>
        <xdr:sp macro="" textlink="">
          <xdr:nvSpPr>
            <xdr:cNvPr id="14368" name="Option Button 32" hidden="1">
              <a:extLst>
                <a:ext uri="{63B3BB69-23CF-44E3-9099-C40C66FF867C}">
                  <a14:compatExt spid="_x0000_s14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39</xdr:row>
          <xdr:rowOff>190500</xdr:rowOff>
        </xdr:from>
        <xdr:to>
          <xdr:col>1</xdr:col>
          <xdr:colOff>685800</xdr:colOff>
          <xdr:row>41</xdr:row>
          <xdr:rowOff>146050</xdr:rowOff>
        </xdr:to>
        <xdr:sp macro="" textlink="">
          <xdr:nvSpPr>
            <xdr:cNvPr id="14373" name="Group Box 37" hidden="1">
              <a:extLst>
                <a:ext uri="{63B3BB69-23CF-44E3-9099-C40C66FF867C}">
                  <a14:compatExt spid="_x0000_s14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40</xdr:row>
          <xdr:rowOff>69850</xdr:rowOff>
        </xdr:from>
        <xdr:to>
          <xdr:col>3</xdr:col>
          <xdr:colOff>95250</xdr:colOff>
          <xdr:row>40</xdr:row>
          <xdr:rowOff>298450</xdr:rowOff>
        </xdr:to>
        <xdr:sp macro="" textlink="">
          <xdr:nvSpPr>
            <xdr:cNvPr id="14375" name="Option Button 39" hidden="1">
              <a:extLst>
                <a:ext uri="{63B3BB69-23CF-44E3-9099-C40C66FF867C}">
                  <a14:compatExt spid="_x0000_s14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40</xdr:row>
          <xdr:rowOff>76200</xdr:rowOff>
        </xdr:from>
        <xdr:to>
          <xdr:col>4</xdr:col>
          <xdr:colOff>457200</xdr:colOff>
          <xdr:row>40</xdr:row>
          <xdr:rowOff>298450</xdr:rowOff>
        </xdr:to>
        <xdr:sp macro="" textlink="">
          <xdr:nvSpPr>
            <xdr:cNvPr id="14376" name="Option Button 40" hidden="1">
              <a:extLst>
                <a:ext uri="{63B3BB69-23CF-44E3-9099-C40C66FF867C}">
                  <a14:compatExt spid="_x0000_s14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488950</xdr:colOff>
          <xdr:row>40</xdr:row>
          <xdr:rowOff>76200</xdr:rowOff>
        </xdr:from>
        <xdr:to>
          <xdr:col>6</xdr:col>
          <xdr:colOff>57150</xdr:colOff>
          <xdr:row>40</xdr:row>
          <xdr:rowOff>304800</xdr:rowOff>
        </xdr:to>
        <xdr:sp macro="" textlink="">
          <xdr:nvSpPr>
            <xdr:cNvPr id="14377" name="Option Button 41" hidden="1">
              <a:extLst>
                <a:ext uri="{63B3BB69-23CF-44E3-9099-C40C66FF867C}">
                  <a14:compatExt spid="_x0000_s143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584200</xdr:colOff>
          <xdr:row>16</xdr:row>
          <xdr:rowOff>50800</xdr:rowOff>
        </xdr:from>
        <xdr:to>
          <xdr:col>1</xdr:col>
          <xdr:colOff>266700</xdr:colOff>
          <xdr:row>16</xdr:row>
          <xdr:rowOff>266700</xdr:rowOff>
        </xdr:to>
        <xdr:sp macro="" textlink="">
          <xdr:nvSpPr>
            <xdr:cNvPr id="14383" name="obrázek 71" hidden="1">
              <a:extLst>
                <a:ext uri="{63B3BB69-23CF-44E3-9099-C40C66FF867C}">
                  <a14:compatExt spid="_x0000_s14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584200</xdr:colOff>
          <xdr:row>40</xdr:row>
          <xdr:rowOff>69850</xdr:rowOff>
        </xdr:from>
        <xdr:to>
          <xdr:col>1</xdr:col>
          <xdr:colOff>266700</xdr:colOff>
          <xdr:row>40</xdr:row>
          <xdr:rowOff>298450</xdr:rowOff>
        </xdr:to>
        <xdr:sp macro="" textlink="">
          <xdr:nvSpPr>
            <xdr:cNvPr id="14384" name="obrázek 71" hidden="1">
              <a:extLst>
                <a:ext uri="{63B3BB69-23CF-44E3-9099-C40C66FF867C}">
                  <a14:compatExt spid="_x0000_s14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15</xdr:row>
          <xdr:rowOff>165100</xdr:rowOff>
        </xdr:from>
        <xdr:to>
          <xdr:col>7</xdr:col>
          <xdr:colOff>0</xdr:colOff>
          <xdr:row>17</xdr:row>
          <xdr:rowOff>127000</xdr:rowOff>
        </xdr:to>
        <xdr:sp macro="" textlink="">
          <xdr:nvSpPr>
            <xdr:cNvPr id="14389" name="Group Box 53" hidden="1">
              <a:extLst>
                <a:ext uri="{63B3BB69-23CF-44E3-9099-C40C66FF867C}">
                  <a14:compatExt spid="_x0000_s14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16</xdr:row>
          <xdr:rowOff>57150</xdr:rowOff>
        </xdr:from>
        <xdr:to>
          <xdr:col>3</xdr:col>
          <xdr:colOff>495300</xdr:colOff>
          <xdr:row>16</xdr:row>
          <xdr:rowOff>279400</xdr:rowOff>
        </xdr:to>
        <xdr:sp macro="" textlink="">
          <xdr:nvSpPr>
            <xdr:cNvPr id="14390" name="obrázek 71" hidden="1">
              <a:extLst>
                <a:ext uri="{63B3BB69-23CF-44E3-9099-C40C66FF867C}">
                  <a14:compatExt spid="_x0000_s14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16</xdr:row>
          <xdr:rowOff>69850</xdr:rowOff>
        </xdr:from>
        <xdr:to>
          <xdr:col>5</xdr:col>
          <xdr:colOff>133350</xdr:colOff>
          <xdr:row>16</xdr:row>
          <xdr:rowOff>298450</xdr:rowOff>
        </xdr:to>
        <xdr:sp macro="" textlink="">
          <xdr:nvSpPr>
            <xdr:cNvPr id="14391" name="obrázek 71" hidden="1">
              <a:extLst>
                <a:ext uri="{63B3BB69-23CF-44E3-9099-C40C66FF867C}">
                  <a14:compatExt spid="_x0000_s14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69850</xdr:rowOff>
        </xdr:from>
        <xdr:to>
          <xdr:col>6</xdr:col>
          <xdr:colOff>457200</xdr:colOff>
          <xdr:row>16</xdr:row>
          <xdr:rowOff>285750</xdr:rowOff>
        </xdr:to>
        <xdr:sp macro="" textlink="">
          <xdr:nvSpPr>
            <xdr:cNvPr id="14392" name="obrázek 71" hidden="1">
              <a:extLst>
                <a:ext uri="{63B3BB69-23CF-44E3-9099-C40C66FF867C}">
                  <a14:compatExt spid="_x0000_s14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39</xdr:row>
          <xdr:rowOff>190500</xdr:rowOff>
        </xdr:from>
        <xdr:to>
          <xdr:col>7</xdr:col>
          <xdr:colOff>0</xdr:colOff>
          <xdr:row>41</xdr:row>
          <xdr:rowOff>146050</xdr:rowOff>
        </xdr:to>
        <xdr:sp macro="" textlink="">
          <xdr:nvSpPr>
            <xdr:cNvPr id="14393" name="Group Box 57" hidden="1">
              <a:extLst>
                <a:ext uri="{63B3BB69-23CF-44E3-9099-C40C66FF867C}">
                  <a14:compatExt spid="_x0000_s14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40</xdr:row>
          <xdr:rowOff>88900</xdr:rowOff>
        </xdr:from>
        <xdr:to>
          <xdr:col>3</xdr:col>
          <xdr:colOff>495300</xdr:colOff>
          <xdr:row>41</xdr:row>
          <xdr:rowOff>0</xdr:rowOff>
        </xdr:to>
        <xdr:sp macro="" textlink="">
          <xdr:nvSpPr>
            <xdr:cNvPr id="14394" name="obrázek 71" hidden="1">
              <a:extLst>
                <a:ext uri="{63B3BB69-23CF-44E3-9099-C40C66FF867C}">
                  <a14:compatExt spid="_x0000_s14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40</xdr:row>
          <xdr:rowOff>95250</xdr:rowOff>
        </xdr:from>
        <xdr:to>
          <xdr:col>5</xdr:col>
          <xdr:colOff>133350</xdr:colOff>
          <xdr:row>41</xdr:row>
          <xdr:rowOff>12700</xdr:rowOff>
        </xdr:to>
        <xdr:sp macro="" textlink="">
          <xdr:nvSpPr>
            <xdr:cNvPr id="14395" name="obrázek 71" hidden="1">
              <a:extLst>
                <a:ext uri="{63B3BB69-23CF-44E3-9099-C40C66FF867C}">
                  <a14:compatExt spid="_x0000_s14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95250</xdr:rowOff>
        </xdr:from>
        <xdr:to>
          <xdr:col>6</xdr:col>
          <xdr:colOff>457200</xdr:colOff>
          <xdr:row>41</xdr:row>
          <xdr:rowOff>12700</xdr:rowOff>
        </xdr:to>
        <xdr:sp macro="" textlink="">
          <xdr:nvSpPr>
            <xdr:cNvPr id="14396" name="obrázek 71" hidden="1">
              <a:extLst>
                <a:ext uri="{63B3BB69-23CF-44E3-9099-C40C66FF867C}">
                  <a14:compatExt spid="_x0000_s143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317500</xdr:colOff>
          <xdr:row>3</xdr:row>
          <xdr:rowOff>88900</xdr:rowOff>
        </xdr:from>
        <xdr:to>
          <xdr:col>1</xdr:col>
          <xdr:colOff>438150</xdr:colOff>
          <xdr:row>3</xdr:row>
          <xdr:rowOff>241300</xdr:rowOff>
        </xdr:to>
        <xdr:sp macro="" textlink="">
          <xdr:nvSpPr>
            <xdr:cNvPr id="8193" name="obrázek 7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203200</xdr:colOff>
          <xdr:row>3</xdr:row>
          <xdr:rowOff>57150</xdr:rowOff>
        </xdr:from>
        <xdr:to>
          <xdr:col>3</xdr:col>
          <xdr:colOff>552450</xdr:colOff>
          <xdr:row>3</xdr:row>
          <xdr:rowOff>279400</xdr:rowOff>
        </xdr:to>
        <xdr:sp macro="" textlink="">
          <xdr:nvSpPr>
            <xdr:cNvPr id="8195" name="obrázek 67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203200</xdr:colOff>
          <xdr:row>3</xdr:row>
          <xdr:rowOff>50800</xdr:rowOff>
        </xdr:from>
        <xdr:to>
          <xdr:col>8</xdr:col>
          <xdr:colOff>552450</xdr:colOff>
          <xdr:row>3</xdr:row>
          <xdr:rowOff>266700</xdr:rowOff>
        </xdr:to>
        <xdr:sp macro="" textlink="">
          <xdr:nvSpPr>
            <xdr:cNvPr id="8197" name="obrázek 69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317500</xdr:colOff>
          <xdr:row>3</xdr:row>
          <xdr:rowOff>76200</xdr:rowOff>
        </xdr:from>
        <xdr:to>
          <xdr:col>6</xdr:col>
          <xdr:colOff>438150</xdr:colOff>
          <xdr:row>3</xdr:row>
          <xdr:rowOff>266700</xdr:rowOff>
        </xdr:to>
        <xdr:sp macro="" textlink="">
          <xdr:nvSpPr>
            <xdr:cNvPr id="8198" name="obrázek 70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527050</xdr:colOff>
          <xdr:row>8</xdr:row>
          <xdr:rowOff>19050</xdr:rowOff>
        </xdr:from>
        <xdr:to>
          <xdr:col>1</xdr:col>
          <xdr:colOff>304800</xdr:colOff>
          <xdr:row>8</xdr:row>
          <xdr:rowOff>241300</xdr:rowOff>
        </xdr:to>
        <xdr:sp macro="" textlink="">
          <xdr:nvSpPr>
            <xdr:cNvPr id="8199" name="obrázek 71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8</xdr:row>
          <xdr:rowOff>50800</xdr:rowOff>
        </xdr:from>
        <xdr:to>
          <xdr:col>5</xdr:col>
          <xdr:colOff>209550</xdr:colOff>
          <xdr:row>8</xdr:row>
          <xdr:rowOff>260350</xdr:rowOff>
        </xdr:to>
        <xdr:sp macro="" textlink="">
          <xdr:nvSpPr>
            <xdr:cNvPr id="8201" name="obrázek 73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704850</xdr:colOff>
          <xdr:row>8</xdr:row>
          <xdr:rowOff>50800</xdr:rowOff>
        </xdr:from>
        <xdr:to>
          <xdr:col>6</xdr:col>
          <xdr:colOff>495300</xdr:colOff>
          <xdr:row>8</xdr:row>
          <xdr:rowOff>260350</xdr:rowOff>
        </xdr:to>
        <xdr:sp macro="" textlink="">
          <xdr:nvSpPr>
            <xdr:cNvPr id="8202" name="obrázek 74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13</xdr:row>
          <xdr:rowOff>50800</xdr:rowOff>
        </xdr:from>
        <xdr:to>
          <xdr:col>7</xdr:col>
          <xdr:colOff>304800</xdr:colOff>
          <xdr:row>13</xdr:row>
          <xdr:rowOff>285750</xdr:rowOff>
        </xdr:to>
        <xdr:sp macro="" textlink="">
          <xdr:nvSpPr>
            <xdr:cNvPr id="8204" name="obrázek 76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13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21</xdr:row>
          <xdr:rowOff>19050</xdr:rowOff>
        </xdr:from>
        <xdr:to>
          <xdr:col>7</xdr:col>
          <xdr:colOff>361950</xdr:colOff>
          <xdr:row>21</xdr:row>
          <xdr:rowOff>266700</xdr:rowOff>
        </xdr:to>
        <xdr:sp macro="" textlink="">
          <xdr:nvSpPr>
            <xdr:cNvPr id="8205" name="obrázek 77" hidden="1">
              <a:extLst>
                <a:ext uri="{63B3BB69-23CF-44E3-9099-C40C66FF867C}">
                  <a14:compatExt spid="_x0000_s8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34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8</xdr:row>
          <xdr:rowOff>50800</xdr:rowOff>
        </xdr:from>
        <xdr:to>
          <xdr:col>3</xdr:col>
          <xdr:colOff>622300</xdr:colOff>
          <xdr:row>8</xdr:row>
          <xdr:rowOff>266700</xdr:rowOff>
        </xdr:to>
        <xdr:sp macro="" textlink="">
          <xdr:nvSpPr>
            <xdr:cNvPr id="8215" name="obrázek 72" hidden="1">
              <a:extLst>
                <a:ext uri="{63B3BB69-23CF-44E3-9099-C40C66FF867C}">
                  <a14:compatExt spid="_x0000_s8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8219" name="Drop Down 27" hidden="1">
              <a:extLst>
                <a:ext uri="{63B3BB69-23CF-44E3-9099-C40C66FF867C}">
                  <a14:compatExt spid="_x0000_s8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1</xdr:row>
          <xdr:rowOff>0</xdr:rowOff>
        </xdr:from>
        <xdr:to>
          <xdr:col>8</xdr:col>
          <xdr:colOff>171450</xdr:colOff>
          <xdr:row>1</xdr:row>
          <xdr:rowOff>241300</xdr:rowOff>
        </xdr:to>
        <xdr:sp macro="" textlink="">
          <xdr:nvSpPr>
            <xdr:cNvPr id="8220" name="Drop Down 28" hidden="1">
              <a:extLst>
                <a:ext uri="{63B3BB69-23CF-44E3-9099-C40C66FF867C}">
                  <a14:compatExt spid="_x0000_s8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317500</xdr:colOff>
          <xdr:row>34</xdr:row>
          <xdr:rowOff>88900</xdr:rowOff>
        </xdr:from>
        <xdr:to>
          <xdr:col>1</xdr:col>
          <xdr:colOff>438150</xdr:colOff>
          <xdr:row>34</xdr:row>
          <xdr:rowOff>241300</xdr:rowOff>
        </xdr:to>
        <xdr:sp macro="" textlink="">
          <xdr:nvSpPr>
            <xdr:cNvPr id="8256" name="obrázek 7" hidden="1">
              <a:extLst>
                <a:ext uri="{63B3BB69-23CF-44E3-9099-C40C66FF867C}">
                  <a14:compatExt spid="_x0000_s8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203200</xdr:colOff>
          <xdr:row>34</xdr:row>
          <xdr:rowOff>57150</xdr:rowOff>
        </xdr:from>
        <xdr:to>
          <xdr:col>3</xdr:col>
          <xdr:colOff>552450</xdr:colOff>
          <xdr:row>34</xdr:row>
          <xdr:rowOff>279400</xdr:rowOff>
        </xdr:to>
        <xdr:sp macro="" textlink="">
          <xdr:nvSpPr>
            <xdr:cNvPr id="8257" name="obrázek 67" hidden="1">
              <a:extLst>
                <a:ext uri="{63B3BB69-23CF-44E3-9099-C40C66FF867C}">
                  <a14:compatExt spid="_x0000_s8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203200</xdr:colOff>
          <xdr:row>34</xdr:row>
          <xdr:rowOff>50800</xdr:rowOff>
        </xdr:from>
        <xdr:to>
          <xdr:col>8</xdr:col>
          <xdr:colOff>552450</xdr:colOff>
          <xdr:row>34</xdr:row>
          <xdr:rowOff>266700</xdr:rowOff>
        </xdr:to>
        <xdr:sp macro="" textlink="">
          <xdr:nvSpPr>
            <xdr:cNvPr id="8258" name="obrázek 69" hidden="1">
              <a:extLst>
                <a:ext uri="{63B3BB69-23CF-44E3-9099-C40C66FF867C}">
                  <a14:compatExt spid="_x0000_s8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317500</xdr:colOff>
          <xdr:row>34</xdr:row>
          <xdr:rowOff>76200</xdr:rowOff>
        </xdr:from>
        <xdr:to>
          <xdr:col>6</xdr:col>
          <xdr:colOff>438150</xdr:colOff>
          <xdr:row>34</xdr:row>
          <xdr:rowOff>266700</xdr:rowOff>
        </xdr:to>
        <xdr:sp macro="" textlink="">
          <xdr:nvSpPr>
            <xdr:cNvPr id="8259" name="obrázek 70" hidden="1">
              <a:extLst>
                <a:ext uri="{63B3BB69-23CF-44E3-9099-C40C66FF867C}">
                  <a14:compatExt spid="_x0000_s8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431800</xdr:colOff>
          <xdr:row>44</xdr:row>
          <xdr:rowOff>50800</xdr:rowOff>
        </xdr:from>
        <xdr:to>
          <xdr:col>7</xdr:col>
          <xdr:colOff>279400</xdr:colOff>
          <xdr:row>44</xdr:row>
          <xdr:rowOff>285750</xdr:rowOff>
        </xdr:to>
        <xdr:sp macro="" textlink="">
          <xdr:nvSpPr>
            <xdr:cNvPr id="8263" name="obrázek 76" hidden="1">
              <a:extLst>
                <a:ext uri="{63B3BB69-23CF-44E3-9099-C40C66FF867C}">
                  <a14:compatExt spid="_x0000_s8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13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52</xdr:row>
          <xdr:rowOff>19050</xdr:rowOff>
        </xdr:from>
        <xdr:to>
          <xdr:col>7</xdr:col>
          <xdr:colOff>317500</xdr:colOff>
          <xdr:row>52</xdr:row>
          <xdr:rowOff>266700</xdr:rowOff>
        </xdr:to>
        <xdr:sp macro="" textlink="">
          <xdr:nvSpPr>
            <xdr:cNvPr id="8264" name="obrázek 77" hidden="1">
              <a:extLst>
                <a:ext uri="{63B3BB69-23CF-44E3-9099-C40C66FF867C}">
                  <a14:compatExt spid="_x0000_s8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905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00" mc:Ignorable="a14" a14:legacySpreadsheetColorIndex="34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</xdr:row>
          <xdr:rowOff>146050</xdr:rowOff>
        </xdr:from>
        <xdr:to>
          <xdr:col>1</xdr:col>
          <xdr:colOff>685800</xdr:colOff>
          <xdr:row>9</xdr:row>
          <xdr:rowOff>107950</xdr:rowOff>
        </xdr:to>
        <xdr:sp macro="" textlink="">
          <xdr:nvSpPr>
            <xdr:cNvPr id="8267" name="Group Box 75" hidden="1">
              <a:extLst>
                <a:ext uri="{63B3BB69-23CF-44E3-9099-C40C66FF867C}">
                  <a14:compatExt spid="_x0000_s8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7</xdr:row>
          <xdr:rowOff>146050</xdr:rowOff>
        </xdr:from>
        <xdr:to>
          <xdr:col>7</xdr:col>
          <xdr:colOff>0</xdr:colOff>
          <xdr:row>9</xdr:row>
          <xdr:rowOff>107950</xdr:rowOff>
        </xdr:to>
        <xdr:sp macro="" textlink="">
          <xdr:nvSpPr>
            <xdr:cNvPr id="8268" name="Group Box 76" hidden="1">
              <a:extLst>
                <a:ext uri="{63B3BB69-23CF-44E3-9099-C40C66FF867C}">
                  <a14:compatExt spid="_x0000_s8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8</xdr:row>
          <xdr:rowOff>50800</xdr:rowOff>
        </xdr:from>
        <xdr:to>
          <xdr:col>3</xdr:col>
          <xdr:colOff>133350</xdr:colOff>
          <xdr:row>8</xdr:row>
          <xdr:rowOff>260350</xdr:rowOff>
        </xdr:to>
        <xdr:sp macro="" textlink="">
          <xdr:nvSpPr>
            <xdr:cNvPr id="8269" name="Option Button 77" hidden="1">
              <a:extLst>
                <a:ext uri="{63B3BB69-23CF-44E3-9099-C40C66FF867C}">
                  <a14:compatExt spid="_x0000_s8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146050</xdr:colOff>
          <xdr:row>8</xdr:row>
          <xdr:rowOff>50800</xdr:rowOff>
        </xdr:from>
        <xdr:to>
          <xdr:col>4</xdr:col>
          <xdr:colOff>457200</xdr:colOff>
          <xdr:row>8</xdr:row>
          <xdr:rowOff>266700</xdr:rowOff>
        </xdr:to>
        <xdr:sp macro="" textlink="">
          <xdr:nvSpPr>
            <xdr:cNvPr id="8270" name="Option Button 78" hidden="1">
              <a:extLst>
                <a:ext uri="{63B3BB69-23CF-44E3-9099-C40C66FF867C}">
                  <a14:compatExt spid="_x0000_s8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8</xdr:row>
          <xdr:rowOff>50800</xdr:rowOff>
        </xdr:from>
        <xdr:to>
          <xdr:col>6</xdr:col>
          <xdr:colOff>12700</xdr:colOff>
          <xdr:row>8</xdr:row>
          <xdr:rowOff>260350</xdr:rowOff>
        </xdr:to>
        <xdr:sp macro="" textlink="">
          <xdr:nvSpPr>
            <xdr:cNvPr id="8271" name="Option Button 79" hidden="1">
              <a:extLst>
                <a:ext uri="{63B3BB69-23CF-44E3-9099-C40C66FF867C}">
                  <a14:compatExt spid="_x0000_s8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14</xdr:row>
          <xdr:rowOff>146050</xdr:rowOff>
        </xdr:from>
        <xdr:to>
          <xdr:col>1</xdr:col>
          <xdr:colOff>685800</xdr:colOff>
          <xdr:row>16</xdr:row>
          <xdr:rowOff>107950</xdr:rowOff>
        </xdr:to>
        <xdr:sp macro="" textlink="">
          <xdr:nvSpPr>
            <xdr:cNvPr id="8277" name="Group Box 85" hidden="1">
              <a:extLst>
                <a:ext uri="{63B3BB69-23CF-44E3-9099-C40C66FF867C}">
                  <a14:compatExt spid="_x0000_s82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14</xdr:row>
          <xdr:rowOff>146050</xdr:rowOff>
        </xdr:from>
        <xdr:to>
          <xdr:col>7</xdr:col>
          <xdr:colOff>0</xdr:colOff>
          <xdr:row>16</xdr:row>
          <xdr:rowOff>107950</xdr:rowOff>
        </xdr:to>
        <xdr:sp macro="" textlink="">
          <xdr:nvSpPr>
            <xdr:cNvPr id="8278" name="Group Box 86" hidden="1">
              <a:extLst>
                <a:ext uri="{63B3BB69-23CF-44E3-9099-C40C66FF867C}">
                  <a14:compatExt spid="_x0000_s8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15</xdr:row>
          <xdr:rowOff>19050</xdr:rowOff>
        </xdr:from>
        <xdr:to>
          <xdr:col>3</xdr:col>
          <xdr:colOff>133350</xdr:colOff>
          <xdr:row>15</xdr:row>
          <xdr:rowOff>241300</xdr:rowOff>
        </xdr:to>
        <xdr:sp macro="" textlink="">
          <xdr:nvSpPr>
            <xdr:cNvPr id="8279" name="Option Button 87" hidden="1">
              <a:extLst>
                <a:ext uri="{63B3BB69-23CF-44E3-9099-C40C66FF867C}">
                  <a14:compatExt spid="_x0000_s82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15</xdr:row>
          <xdr:rowOff>19050</xdr:rowOff>
        </xdr:from>
        <xdr:to>
          <xdr:col>4</xdr:col>
          <xdr:colOff>488950</xdr:colOff>
          <xdr:row>15</xdr:row>
          <xdr:rowOff>247650</xdr:rowOff>
        </xdr:to>
        <xdr:sp macro="" textlink="">
          <xdr:nvSpPr>
            <xdr:cNvPr id="8280" name="Option Button 88" hidden="1">
              <a:extLst>
                <a:ext uri="{63B3BB69-23CF-44E3-9099-C40C66FF867C}">
                  <a14:compatExt spid="_x0000_s82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15</xdr:row>
          <xdr:rowOff>31750</xdr:rowOff>
        </xdr:from>
        <xdr:to>
          <xdr:col>6</xdr:col>
          <xdr:colOff>0</xdr:colOff>
          <xdr:row>15</xdr:row>
          <xdr:rowOff>247650</xdr:rowOff>
        </xdr:to>
        <xdr:sp macro="" textlink="">
          <xdr:nvSpPr>
            <xdr:cNvPr id="8281" name="Option Button 89" hidden="1">
              <a:extLst>
                <a:ext uri="{63B3BB69-23CF-44E3-9099-C40C66FF867C}">
                  <a14:compatExt spid="_x0000_s82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15</xdr:row>
          <xdr:rowOff>19050</xdr:rowOff>
        </xdr:from>
        <xdr:to>
          <xdr:col>3</xdr:col>
          <xdr:colOff>603250</xdr:colOff>
          <xdr:row>15</xdr:row>
          <xdr:rowOff>247650</xdr:rowOff>
        </xdr:to>
        <xdr:sp macro="" textlink="">
          <xdr:nvSpPr>
            <xdr:cNvPr id="8284" name="obrázek 71" hidden="1">
              <a:extLst>
                <a:ext uri="{63B3BB69-23CF-44E3-9099-C40C66FF867C}">
                  <a14:compatExt spid="_x0000_s82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469900</xdr:colOff>
          <xdr:row>15</xdr:row>
          <xdr:rowOff>31750</xdr:rowOff>
        </xdr:from>
        <xdr:to>
          <xdr:col>5</xdr:col>
          <xdr:colOff>203200</xdr:colOff>
          <xdr:row>15</xdr:row>
          <xdr:rowOff>247650</xdr:rowOff>
        </xdr:to>
        <xdr:sp macro="" textlink="">
          <xdr:nvSpPr>
            <xdr:cNvPr id="8285" name="obrázek 71" hidden="1">
              <a:extLst>
                <a:ext uri="{63B3BB69-23CF-44E3-9099-C40C66FF867C}">
                  <a14:compatExt spid="_x0000_s82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50800</xdr:rowOff>
        </xdr:from>
        <xdr:to>
          <xdr:col>6</xdr:col>
          <xdr:colOff>450850</xdr:colOff>
          <xdr:row>15</xdr:row>
          <xdr:rowOff>260350</xdr:rowOff>
        </xdr:to>
        <xdr:sp macro="" textlink="">
          <xdr:nvSpPr>
            <xdr:cNvPr id="8286" name="obrázek 71" hidden="1">
              <a:extLst>
                <a:ext uri="{63B3BB69-23CF-44E3-9099-C40C66FF867C}">
                  <a14:compatExt spid="_x0000_s82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23</xdr:row>
          <xdr:rowOff>19050</xdr:rowOff>
        </xdr:from>
        <xdr:to>
          <xdr:col>3</xdr:col>
          <xdr:colOff>133350</xdr:colOff>
          <xdr:row>23</xdr:row>
          <xdr:rowOff>241300</xdr:rowOff>
        </xdr:to>
        <xdr:sp macro="" textlink="">
          <xdr:nvSpPr>
            <xdr:cNvPr id="8289" name="Option Button 97" hidden="1">
              <a:extLst>
                <a:ext uri="{63B3BB69-23CF-44E3-9099-C40C66FF867C}">
                  <a14:compatExt spid="_x0000_s8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23</xdr:row>
          <xdr:rowOff>19050</xdr:rowOff>
        </xdr:from>
        <xdr:to>
          <xdr:col>4</xdr:col>
          <xdr:colOff>488950</xdr:colOff>
          <xdr:row>23</xdr:row>
          <xdr:rowOff>247650</xdr:rowOff>
        </xdr:to>
        <xdr:sp macro="" textlink="">
          <xdr:nvSpPr>
            <xdr:cNvPr id="8290" name="Option Button 98" hidden="1">
              <a:extLst>
                <a:ext uri="{63B3BB69-23CF-44E3-9099-C40C66FF867C}">
                  <a14:compatExt spid="_x0000_s8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23</xdr:row>
          <xdr:rowOff>50800</xdr:rowOff>
        </xdr:from>
        <xdr:to>
          <xdr:col>6</xdr:col>
          <xdr:colOff>12700</xdr:colOff>
          <xdr:row>23</xdr:row>
          <xdr:rowOff>260350</xdr:rowOff>
        </xdr:to>
        <xdr:sp macro="" textlink="">
          <xdr:nvSpPr>
            <xdr:cNvPr id="8291" name="Option Button 99" hidden="1">
              <a:extLst>
                <a:ext uri="{63B3BB69-23CF-44E3-9099-C40C66FF867C}">
                  <a14:compatExt spid="_x0000_s8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514350</xdr:colOff>
          <xdr:row>39</xdr:row>
          <xdr:rowOff>19050</xdr:rowOff>
        </xdr:from>
        <xdr:to>
          <xdr:col>1</xdr:col>
          <xdr:colOff>304800</xdr:colOff>
          <xdr:row>39</xdr:row>
          <xdr:rowOff>241300</xdr:rowOff>
        </xdr:to>
        <xdr:sp macro="" textlink="">
          <xdr:nvSpPr>
            <xdr:cNvPr id="8296" name="obrázek 71" hidden="1">
              <a:extLst>
                <a:ext uri="{63B3BB69-23CF-44E3-9099-C40C66FF867C}">
                  <a14:compatExt spid="_x0000_s8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38</xdr:row>
          <xdr:rowOff>133350</xdr:rowOff>
        </xdr:from>
        <xdr:to>
          <xdr:col>1</xdr:col>
          <xdr:colOff>685800</xdr:colOff>
          <xdr:row>40</xdr:row>
          <xdr:rowOff>95250</xdr:rowOff>
        </xdr:to>
        <xdr:sp macro="" textlink="">
          <xdr:nvSpPr>
            <xdr:cNvPr id="8300" name="Group Box 108" hidden="1">
              <a:extLst>
                <a:ext uri="{63B3BB69-23CF-44E3-9099-C40C66FF867C}">
                  <a14:compatExt spid="_x0000_s8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39</xdr:row>
          <xdr:rowOff>19050</xdr:rowOff>
        </xdr:from>
        <xdr:to>
          <xdr:col>3</xdr:col>
          <xdr:colOff>133350</xdr:colOff>
          <xdr:row>39</xdr:row>
          <xdr:rowOff>241300</xdr:rowOff>
        </xdr:to>
        <xdr:sp macro="" textlink="">
          <xdr:nvSpPr>
            <xdr:cNvPr id="8302" name="Option Button 110" hidden="1">
              <a:extLst>
                <a:ext uri="{63B3BB69-23CF-44E3-9099-C40C66FF867C}">
                  <a14:compatExt spid="_x0000_s83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39</xdr:row>
          <xdr:rowOff>19050</xdr:rowOff>
        </xdr:from>
        <xdr:to>
          <xdr:col>4</xdr:col>
          <xdr:colOff>476250</xdr:colOff>
          <xdr:row>39</xdr:row>
          <xdr:rowOff>247650</xdr:rowOff>
        </xdr:to>
        <xdr:sp macro="" textlink="">
          <xdr:nvSpPr>
            <xdr:cNvPr id="8303" name="Option Button 111" hidden="1">
              <a:extLst>
                <a:ext uri="{63B3BB69-23CF-44E3-9099-C40C66FF867C}">
                  <a14:compatExt spid="_x0000_s83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469900</xdr:colOff>
          <xdr:row>39</xdr:row>
          <xdr:rowOff>19050</xdr:rowOff>
        </xdr:from>
        <xdr:to>
          <xdr:col>6</xdr:col>
          <xdr:colOff>38100</xdr:colOff>
          <xdr:row>39</xdr:row>
          <xdr:rowOff>241300</xdr:rowOff>
        </xdr:to>
        <xdr:sp macro="" textlink="">
          <xdr:nvSpPr>
            <xdr:cNvPr id="8304" name="Option Button 112" hidden="1">
              <a:extLst>
                <a:ext uri="{63B3BB69-23CF-44E3-9099-C40C66FF867C}">
                  <a14:compatExt spid="_x0000_s83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45</xdr:row>
          <xdr:rowOff>133350</xdr:rowOff>
        </xdr:from>
        <xdr:to>
          <xdr:col>1</xdr:col>
          <xdr:colOff>685800</xdr:colOff>
          <xdr:row>47</xdr:row>
          <xdr:rowOff>95250</xdr:rowOff>
        </xdr:to>
        <xdr:sp macro="" textlink="">
          <xdr:nvSpPr>
            <xdr:cNvPr id="8305" name="Group Box 113" hidden="1">
              <a:extLst>
                <a:ext uri="{63B3BB69-23CF-44E3-9099-C40C66FF867C}">
                  <a14:compatExt spid="_x0000_s8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46</xdr:row>
          <xdr:rowOff>0</xdr:rowOff>
        </xdr:from>
        <xdr:to>
          <xdr:col>3</xdr:col>
          <xdr:colOff>95250</xdr:colOff>
          <xdr:row>46</xdr:row>
          <xdr:rowOff>222250</xdr:rowOff>
        </xdr:to>
        <xdr:sp macro="" textlink="">
          <xdr:nvSpPr>
            <xdr:cNvPr id="8307" name="Option Button 115" hidden="1">
              <a:extLst>
                <a:ext uri="{63B3BB69-23CF-44E3-9099-C40C66FF867C}">
                  <a14:compatExt spid="_x0000_s83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146050</xdr:colOff>
          <xdr:row>46</xdr:row>
          <xdr:rowOff>0</xdr:rowOff>
        </xdr:from>
        <xdr:to>
          <xdr:col>4</xdr:col>
          <xdr:colOff>457200</xdr:colOff>
          <xdr:row>46</xdr:row>
          <xdr:rowOff>222250</xdr:rowOff>
        </xdr:to>
        <xdr:sp macro="" textlink="">
          <xdr:nvSpPr>
            <xdr:cNvPr id="8308" name="Option Button 116" hidden="1">
              <a:extLst>
                <a:ext uri="{63B3BB69-23CF-44E3-9099-C40C66FF867C}">
                  <a14:compatExt spid="_x0000_s8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412750</xdr:colOff>
          <xdr:row>46</xdr:row>
          <xdr:rowOff>0</xdr:rowOff>
        </xdr:from>
        <xdr:to>
          <xdr:col>6</xdr:col>
          <xdr:colOff>0</xdr:colOff>
          <xdr:row>46</xdr:row>
          <xdr:rowOff>222250</xdr:rowOff>
        </xdr:to>
        <xdr:sp macro="" textlink="">
          <xdr:nvSpPr>
            <xdr:cNvPr id="8309" name="Option Button 117" hidden="1">
              <a:extLst>
                <a:ext uri="{63B3BB69-23CF-44E3-9099-C40C66FF867C}">
                  <a14:compatExt spid="_x0000_s8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53</xdr:row>
          <xdr:rowOff>133350</xdr:rowOff>
        </xdr:from>
        <xdr:to>
          <xdr:col>1</xdr:col>
          <xdr:colOff>685800</xdr:colOff>
          <xdr:row>55</xdr:row>
          <xdr:rowOff>95250</xdr:rowOff>
        </xdr:to>
        <xdr:sp macro="" textlink="">
          <xdr:nvSpPr>
            <xdr:cNvPr id="8314" name="Group Box 122" hidden="1">
              <a:extLst>
                <a:ext uri="{63B3BB69-23CF-44E3-9099-C40C66FF867C}">
                  <a14:compatExt spid="_x0000_s8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54</xdr:row>
          <xdr:rowOff>0</xdr:rowOff>
        </xdr:from>
        <xdr:to>
          <xdr:col>3</xdr:col>
          <xdr:colOff>107950</xdr:colOff>
          <xdr:row>54</xdr:row>
          <xdr:rowOff>222250</xdr:rowOff>
        </xdr:to>
        <xdr:sp macro="" textlink="">
          <xdr:nvSpPr>
            <xdr:cNvPr id="8316" name="Option Button 124" hidden="1">
              <a:extLst>
                <a:ext uri="{63B3BB69-23CF-44E3-9099-C40C66FF867C}">
                  <a14:compatExt spid="_x0000_s83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54</xdr:row>
          <xdr:rowOff>0</xdr:rowOff>
        </xdr:from>
        <xdr:to>
          <xdr:col>4</xdr:col>
          <xdr:colOff>450850</xdr:colOff>
          <xdr:row>54</xdr:row>
          <xdr:rowOff>222250</xdr:rowOff>
        </xdr:to>
        <xdr:sp macro="" textlink="">
          <xdr:nvSpPr>
            <xdr:cNvPr id="8317" name="Option Button 125" hidden="1">
              <a:extLst>
                <a:ext uri="{63B3BB69-23CF-44E3-9099-C40C66FF867C}">
                  <a14:compatExt spid="_x0000_s83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54</xdr:row>
          <xdr:rowOff>0</xdr:rowOff>
        </xdr:from>
        <xdr:to>
          <xdr:col>6</xdr:col>
          <xdr:colOff>0</xdr:colOff>
          <xdr:row>54</xdr:row>
          <xdr:rowOff>222250</xdr:rowOff>
        </xdr:to>
        <xdr:sp macro="" textlink="">
          <xdr:nvSpPr>
            <xdr:cNvPr id="8318" name="Option Button 126" hidden="1">
              <a:extLst>
                <a:ext uri="{63B3BB69-23CF-44E3-9099-C40C66FF867C}">
                  <a14:compatExt spid="_x0000_s8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54</xdr:row>
          <xdr:rowOff>12700</xdr:rowOff>
        </xdr:from>
        <xdr:to>
          <xdr:col>1</xdr:col>
          <xdr:colOff>279400</xdr:colOff>
          <xdr:row>54</xdr:row>
          <xdr:rowOff>228600</xdr:rowOff>
        </xdr:to>
        <xdr:sp macro="" textlink="">
          <xdr:nvSpPr>
            <xdr:cNvPr id="8371" name="obrázek 71" hidden="1">
              <a:extLst>
                <a:ext uri="{63B3BB69-23CF-44E3-9099-C40C66FF867C}">
                  <a14:compatExt spid="_x0000_s83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46</xdr:row>
          <xdr:rowOff>50800</xdr:rowOff>
        </xdr:from>
        <xdr:to>
          <xdr:col>1</xdr:col>
          <xdr:colOff>266700</xdr:colOff>
          <xdr:row>46</xdr:row>
          <xdr:rowOff>260350</xdr:rowOff>
        </xdr:to>
        <xdr:sp macro="" textlink="">
          <xdr:nvSpPr>
            <xdr:cNvPr id="8372" name="obrázek 71" hidden="1">
              <a:extLst>
                <a:ext uri="{63B3BB69-23CF-44E3-9099-C40C66FF867C}">
                  <a14:compatExt spid="_x0000_s8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15</xdr:row>
          <xdr:rowOff>50800</xdr:rowOff>
        </xdr:from>
        <xdr:to>
          <xdr:col>1</xdr:col>
          <xdr:colOff>266700</xdr:colOff>
          <xdr:row>15</xdr:row>
          <xdr:rowOff>260350</xdr:rowOff>
        </xdr:to>
        <xdr:sp macro="" textlink="">
          <xdr:nvSpPr>
            <xdr:cNvPr id="8374" name="obrázek 71" hidden="1">
              <a:extLst>
                <a:ext uri="{63B3BB69-23CF-44E3-9099-C40C66FF867C}">
                  <a14:compatExt spid="_x0000_s8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22</xdr:row>
          <xdr:rowOff>152400</xdr:rowOff>
        </xdr:from>
        <xdr:to>
          <xdr:col>1</xdr:col>
          <xdr:colOff>698500</xdr:colOff>
          <xdr:row>24</xdr:row>
          <xdr:rowOff>114300</xdr:rowOff>
        </xdr:to>
        <xdr:sp macro="" textlink="">
          <xdr:nvSpPr>
            <xdr:cNvPr id="8375" name="Group Box 183" hidden="1">
              <a:extLst>
                <a:ext uri="{63B3BB69-23CF-44E3-9099-C40C66FF867C}">
                  <a14:compatExt spid="_x0000_s8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23</xdr:row>
          <xdr:rowOff>50800</xdr:rowOff>
        </xdr:from>
        <xdr:to>
          <xdr:col>1</xdr:col>
          <xdr:colOff>285750</xdr:colOff>
          <xdr:row>23</xdr:row>
          <xdr:rowOff>266700</xdr:rowOff>
        </xdr:to>
        <xdr:sp macro="" textlink="">
          <xdr:nvSpPr>
            <xdr:cNvPr id="8376" name="obrázek 71" hidden="1">
              <a:extLst>
                <a:ext uri="{63B3BB69-23CF-44E3-9099-C40C66FF867C}">
                  <a14:compatExt spid="_x0000_s8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22</xdr:row>
          <xdr:rowOff>152400</xdr:rowOff>
        </xdr:from>
        <xdr:to>
          <xdr:col>7</xdr:col>
          <xdr:colOff>0</xdr:colOff>
          <xdr:row>24</xdr:row>
          <xdr:rowOff>114300</xdr:rowOff>
        </xdr:to>
        <xdr:sp macro="" textlink="">
          <xdr:nvSpPr>
            <xdr:cNvPr id="8381" name="Group Box 189" hidden="1">
              <a:extLst>
                <a:ext uri="{63B3BB69-23CF-44E3-9099-C40C66FF867C}">
                  <a14:compatExt spid="_x0000_s8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23</xdr:row>
          <xdr:rowOff>31750</xdr:rowOff>
        </xdr:from>
        <xdr:to>
          <xdr:col>3</xdr:col>
          <xdr:colOff>603250</xdr:colOff>
          <xdr:row>23</xdr:row>
          <xdr:rowOff>260350</xdr:rowOff>
        </xdr:to>
        <xdr:sp macro="" textlink="">
          <xdr:nvSpPr>
            <xdr:cNvPr id="8382" name="obrázek 71" hidden="1">
              <a:extLst>
                <a:ext uri="{63B3BB69-23CF-44E3-9099-C40C66FF867C}">
                  <a14:compatExt spid="_x0000_s83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469900</xdr:colOff>
          <xdr:row>23</xdr:row>
          <xdr:rowOff>50800</xdr:rowOff>
        </xdr:from>
        <xdr:to>
          <xdr:col>5</xdr:col>
          <xdr:colOff>203200</xdr:colOff>
          <xdr:row>23</xdr:row>
          <xdr:rowOff>260350</xdr:rowOff>
        </xdr:to>
        <xdr:sp macro="" textlink="">
          <xdr:nvSpPr>
            <xdr:cNvPr id="8383" name="obrázek 71" hidden="1">
              <a:extLst>
                <a:ext uri="{63B3BB69-23CF-44E3-9099-C40C66FF867C}">
                  <a14:compatExt spid="_x0000_s8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23</xdr:row>
          <xdr:rowOff>50800</xdr:rowOff>
        </xdr:from>
        <xdr:to>
          <xdr:col>6</xdr:col>
          <xdr:colOff>450850</xdr:colOff>
          <xdr:row>23</xdr:row>
          <xdr:rowOff>266700</xdr:rowOff>
        </xdr:to>
        <xdr:sp macro="" textlink="">
          <xdr:nvSpPr>
            <xdr:cNvPr id="8384" name="obrázek 71" hidden="1">
              <a:extLst>
                <a:ext uri="{63B3BB69-23CF-44E3-9099-C40C66FF867C}">
                  <a14:compatExt spid="_x0000_s8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39</xdr:row>
          <xdr:rowOff>31750</xdr:rowOff>
        </xdr:from>
        <xdr:to>
          <xdr:col>5</xdr:col>
          <xdr:colOff>222250</xdr:colOff>
          <xdr:row>39</xdr:row>
          <xdr:rowOff>241300</xdr:rowOff>
        </xdr:to>
        <xdr:sp macro="" textlink="">
          <xdr:nvSpPr>
            <xdr:cNvPr id="8385" name="obrázek 73" hidden="1">
              <a:extLst>
                <a:ext uri="{63B3BB69-23CF-44E3-9099-C40C66FF867C}">
                  <a14:compatExt spid="_x0000_s8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39</xdr:row>
          <xdr:rowOff>31750</xdr:rowOff>
        </xdr:from>
        <xdr:to>
          <xdr:col>6</xdr:col>
          <xdr:colOff>533400</xdr:colOff>
          <xdr:row>39</xdr:row>
          <xdr:rowOff>247650</xdr:rowOff>
        </xdr:to>
        <xdr:sp macro="" textlink="">
          <xdr:nvSpPr>
            <xdr:cNvPr id="8386" name="obrázek 74" hidden="1">
              <a:extLst>
                <a:ext uri="{63B3BB69-23CF-44E3-9099-C40C66FF867C}">
                  <a14:compatExt spid="_x0000_s8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39</xdr:row>
          <xdr:rowOff>19050</xdr:rowOff>
        </xdr:from>
        <xdr:to>
          <xdr:col>3</xdr:col>
          <xdr:colOff>628650</xdr:colOff>
          <xdr:row>39</xdr:row>
          <xdr:rowOff>247650</xdr:rowOff>
        </xdr:to>
        <xdr:sp macro="" textlink="">
          <xdr:nvSpPr>
            <xdr:cNvPr id="8387" name="obrázek 72" hidden="1">
              <a:extLst>
                <a:ext uri="{63B3BB69-23CF-44E3-9099-C40C66FF867C}">
                  <a14:compatExt spid="_x0000_s8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38</xdr:row>
          <xdr:rowOff>133350</xdr:rowOff>
        </xdr:from>
        <xdr:to>
          <xdr:col>7</xdr:col>
          <xdr:colOff>0</xdr:colOff>
          <xdr:row>40</xdr:row>
          <xdr:rowOff>95250</xdr:rowOff>
        </xdr:to>
        <xdr:sp macro="" textlink="">
          <xdr:nvSpPr>
            <xdr:cNvPr id="8388" name="Group Box 196" hidden="1">
              <a:extLst>
                <a:ext uri="{63B3BB69-23CF-44E3-9099-C40C66FF867C}">
                  <a14:compatExt spid="_x0000_s8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45</xdr:row>
          <xdr:rowOff>133350</xdr:rowOff>
        </xdr:from>
        <xdr:to>
          <xdr:col>7</xdr:col>
          <xdr:colOff>0</xdr:colOff>
          <xdr:row>47</xdr:row>
          <xdr:rowOff>95250</xdr:rowOff>
        </xdr:to>
        <xdr:sp macro="" textlink="">
          <xdr:nvSpPr>
            <xdr:cNvPr id="8389" name="Group Box 197" hidden="1">
              <a:extLst>
                <a:ext uri="{63B3BB69-23CF-44E3-9099-C40C66FF867C}">
                  <a14:compatExt spid="_x0000_s8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46</xdr:row>
          <xdr:rowOff>0</xdr:rowOff>
        </xdr:from>
        <xdr:to>
          <xdr:col>3</xdr:col>
          <xdr:colOff>590550</xdr:colOff>
          <xdr:row>46</xdr:row>
          <xdr:rowOff>228600</xdr:rowOff>
        </xdr:to>
        <xdr:sp macro="" textlink="">
          <xdr:nvSpPr>
            <xdr:cNvPr id="8390" name="obrázek 71" hidden="1">
              <a:extLst>
                <a:ext uri="{63B3BB69-23CF-44E3-9099-C40C66FF867C}">
                  <a14:compatExt spid="_x0000_s8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46</xdr:row>
          <xdr:rowOff>12700</xdr:rowOff>
        </xdr:from>
        <xdr:to>
          <xdr:col>5</xdr:col>
          <xdr:colOff>171450</xdr:colOff>
          <xdr:row>46</xdr:row>
          <xdr:rowOff>228600</xdr:rowOff>
        </xdr:to>
        <xdr:sp macro="" textlink="">
          <xdr:nvSpPr>
            <xdr:cNvPr id="8391" name="obrázek 71" hidden="1">
              <a:extLst>
                <a:ext uri="{63B3BB69-23CF-44E3-9099-C40C66FF867C}">
                  <a14:compatExt spid="_x0000_s8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698500</xdr:colOff>
          <xdr:row>46</xdr:row>
          <xdr:rowOff>19050</xdr:rowOff>
        </xdr:from>
        <xdr:to>
          <xdr:col>6</xdr:col>
          <xdr:colOff>431800</xdr:colOff>
          <xdr:row>46</xdr:row>
          <xdr:rowOff>241300</xdr:rowOff>
        </xdr:to>
        <xdr:sp macro="" textlink="">
          <xdr:nvSpPr>
            <xdr:cNvPr id="8392" name="obrázek 71" hidden="1">
              <a:extLst>
                <a:ext uri="{63B3BB69-23CF-44E3-9099-C40C66FF867C}">
                  <a14:compatExt spid="_x0000_s8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53</xdr:row>
          <xdr:rowOff>133350</xdr:rowOff>
        </xdr:from>
        <xdr:to>
          <xdr:col>7</xdr:col>
          <xdr:colOff>0</xdr:colOff>
          <xdr:row>55</xdr:row>
          <xdr:rowOff>95250</xdr:rowOff>
        </xdr:to>
        <xdr:sp macro="" textlink="">
          <xdr:nvSpPr>
            <xdr:cNvPr id="8397" name="Group Box 205" hidden="1">
              <a:extLst>
                <a:ext uri="{63B3BB69-23CF-44E3-9099-C40C66FF867C}">
                  <a14:compatExt spid="_x0000_s8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54</xdr:row>
          <xdr:rowOff>0</xdr:rowOff>
        </xdr:from>
        <xdr:to>
          <xdr:col>3</xdr:col>
          <xdr:colOff>590550</xdr:colOff>
          <xdr:row>54</xdr:row>
          <xdr:rowOff>228600</xdr:rowOff>
        </xdr:to>
        <xdr:sp macro="" textlink="">
          <xdr:nvSpPr>
            <xdr:cNvPr id="8398" name="obrázek 71" hidden="1">
              <a:extLst>
                <a:ext uri="{63B3BB69-23CF-44E3-9099-C40C66FF867C}">
                  <a14:compatExt spid="_x0000_s8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438150</xdr:colOff>
          <xdr:row>54</xdr:row>
          <xdr:rowOff>12700</xdr:rowOff>
        </xdr:from>
        <xdr:to>
          <xdr:col>5</xdr:col>
          <xdr:colOff>171450</xdr:colOff>
          <xdr:row>54</xdr:row>
          <xdr:rowOff>228600</xdr:rowOff>
        </xdr:to>
        <xdr:sp macro="" textlink="">
          <xdr:nvSpPr>
            <xdr:cNvPr id="8399" name="obrázek 71" hidden="1">
              <a:extLst>
                <a:ext uri="{63B3BB69-23CF-44E3-9099-C40C66FF867C}">
                  <a14:compatExt spid="_x0000_s8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698500</xdr:colOff>
          <xdr:row>54</xdr:row>
          <xdr:rowOff>19050</xdr:rowOff>
        </xdr:from>
        <xdr:to>
          <xdr:col>6</xdr:col>
          <xdr:colOff>431800</xdr:colOff>
          <xdr:row>54</xdr:row>
          <xdr:rowOff>241300</xdr:rowOff>
        </xdr:to>
        <xdr:sp macro="" textlink="">
          <xdr:nvSpPr>
            <xdr:cNvPr id="8400" name="obrázek 71" hidden="1">
              <a:extLst>
                <a:ext uri="{63B3BB69-23CF-44E3-9099-C40C66FF867C}">
                  <a14:compatExt spid="_x0000_s8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312420</xdr:colOff>
      <xdr:row>3</xdr:row>
      <xdr:rowOff>83820</xdr:rowOff>
    </xdr:from>
    <xdr:to>
      <xdr:col>1</xdr:col>
      <xdr:colOff>441960</xdr:colOff>
      <xdr:row>3</xdr:row>
      <xdr:rowOff>236220</xdr:rowOff>
    </xdr:to>
    <xdr:pic>
      <xdr:nvPicPr>
        <xdr:cNvPr id="17062" name="obrázek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40" y="998220"/>
          <a:ext cx="129540" cy="1524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198120</xdr:colOff>
      <xdr:row>3</xdr:row>
      <xdr:rowOff>45720</xdr:rowOff>
    </xdr:from>
    <xdr:to>
      <xdr:col>3</xdr:col>
      <xdr:colOff>556260</xdr:colOff>
      <xdr:row>3</xdr:row>
      <xdr:rowOff>266700</xdr:rowOff>
    </xdr:to>
    <xdr:pic>
      <xdr:nvPicPr>
        <xdr:cNvPr id="17063" name="obrázek 6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2680" y="960120"/>
          <a:ext cx="358140" cy="22098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312420</xdr:colOff>
      <xdr:row>19</xdr:row>
      <xdr:rowOff>83820</xdr:rowOff>
    </xdr:from>
    <xdr:to>
      <xdr:col>1</xdr:col>
      <xdr:colOff>441960</xdr:colOff>
      <xdr:row>19</xdr:row>
      <xdr:rowOff>236220</xdr:rowOff>
    </xdr:to>
    <xdr:pic>
      <xdr:nvPicPr>
        <xdr:cNvPr id="17064" name="obrázek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40" y="5875020"/>
          <a:ext cx="129540" cy="1524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198120</xdr:colOff>
      <xdr:row>19</xdr:row>
      <xdr:rowOff>45720</xdr:rowOff>
    </xdr:from>
    <xdr:to>
      <xdr:col>3</xdr:col>
      <xdr:colOff>556260</xdr:colOff>
      <xdr:row>19</xdr:row>
      <xdr:rowOff>266700</xdr:rowOff>
    </xdr:to>
    <xdr:pic>
      <xdr:nvPicPr>
        <xdr:cNvPr id="17065" name="obrázek 6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2680" y="5836920"/>
          <a:ext cx="358140" cy="22098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6402" name="Drop Down 18" hidden="1">
              <a:extLst>
                <a:ext uri="{63B3BB69-23CF-44E3-9099-C40C66FF867C}">
                  <a14:compatExt spid="_x0000_s164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0</xdr:row>
          <xdr:rowOff>304800</xdr:rowOff>
        </xdr:from>
        <xdr:to>
          <xdr:col>8</xdr:col>
          <xdr:colOff>171450</xdr:colOff>
          <xdr:row>1</xdr:row>
          <xdr:rowOff>241300</xdr:rowOff>
        </xdr:to>
        <xdr:sp macro="" textlink="">
          <xdr:nvSpPr>
            <xdr:cNvPr id="16403" name="Drop Down 19" hidden="1">
              <a:extLst>
                <a:ext uri="{63B3BB69-23CF-44E3-9099-C40C66FF867C}">
                  <a14:compatExt spid="_x0000_s164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203200</xdr:colOff>
          <xdr:row>3</xdr:row>
          <xdr:rowOff>57150</xdr:rowOff>
        </xdr:from>
        <xdr:to>
          <xdr:col>8</xdr:col>
          <xdr:colOff>552450</xdr:colOff>
          <xdr:row>3</xdr:row>
          <xdr:rowOff>279400</xdr:rowOff>
        </xdr:to>
        <xdr:sp macro="" textlink="">
          <xdr:nvSpPr>
            <xdr:cNvPr id="16413" name="obrázek 69" hidden="1">
              <a:extLst>
                <a:ext uri="{63B3BB69-23CF-44E3-9099-C40C66FF867C}">
                  <a14:compatExt spid="_x0000_s164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317500</xdr:colOff>
          <xdr:row>3</xdr:row>
          <xdr:rowOff>88900</xdr:rowOff>
        </xdr:from>
        <xdr:to>
          <xdr:col>6</xdr:col>
          <xdr:colOff>438150</xdr:colOff>
          <xdr:row>3</xdr:row>
          <xdr:rowOff>279400</xdr:rowOff>
        </xdr:to>
        <xdr:sp macro="" textlink="">
          <xdr:nvSpPr>
            <xdr:cNvPr id="16414" name="obrázek 70" hidden="1">
              <a:extLst>
                <a:ext uri="{63B3BB69-23CF-44E3-9099-C40C66FF867C}">
                  <a14:compatExt spid="_x0000_s164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203200</xdr:colOff>
          <xdr:row>19</xdr:row>
          <xdr:rowOff>57150</xdr:rowOff>
        </xdr:from>
        <xdr:to>
          <xdr:col>8</xdr:col>
          <xdr:colOff>552450</xdr:colOff>
          <xdr:row>19</xdr:row>
          <xdr:rowOff>279400</xdr:rowOff>
        </xdr:to>
        <xdr:sp macro="" textlink="">
          <xdr:nvSpPr>
            <xdr:cNvPr id="16501" name="obrázek 69" hidden="1">
              <a:extLst>
                <a:ext uri="{63B3BB69-23CF-44E3-9099-C40C66FF867C}">
                  <a14:compatExt spid="_x0000_s165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317500</xdr:colOff>
          <xdr:row>19</xdr:row>
          <xdr:rowOff>88900</xdr:rowOff>
        </xdr:from>
        <xdr:to>
          <xdr:col>6</xdr:col>
          <xdr:colOff>438150</xdr:colOff>
          <xdr:row>19</xdr:row>
          <xdr:rowOff>279400</xdr:rowOff>
        </xdr:to>
        <xdr:sp macro="" textlink="">
          <xdr:nvSpPr>
            <xdr:cNvPr id="16502" name="obrázek 70" hidden="1">
              <a:extLst>
                <a:ext uri="{63B3BB69-23CF-44E3-9099-C40C66FF867C}">
                  <a14:compatExt spid="_x0000_s165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</xdr:row>
          <xdr:rowOff>146050</xdr:rowOff>
        </xdr:from>
        <xdr:to>
          <xdr:col>1</xdr:col>
          <xdr:colOff>685800</xdr:colOff>
          <xdr:row>9</xdr:row>
          <xdr:rowOff>107950</xdr:rowOff>
        </xdr:to>
        <xdr:sp macro="" textlink="">
          <xdr:nvSpPr>
            <xdr:cNvPr id="16612" name="Group Box 228" hidden="1">
              <a:extLst>
                <a:ext uri="{63B3BB69-23CF-44E3-9099-C40C66FF867C}">
                  <a14:compatExt spid="_x0000_s166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8</xdr:row>
          <xdr:rowOff>31750</xdr:rowOff>
        </xdr:from>
        <xdr:to>
          <xdr:col>3</xdr:col>
          <xdr:colOff>133350</xdr:colOff>
          <xdr:row>8</xdr:row>
          <xdr:rowOff>247650</xdr:rowOff>
        </xdr:to>
        <xdr:sp macro="" textlink="">
          <xdr:nvSpPr>
            <xdr:cNvPr id="16614" name="Option Button 230" hidden="1">
              <a:extLst>
                <a:ext uri="{63B3BB69-23CF-44E3-9099-C40C66FF867C}">
                  <a14:compatExt spid="_x0000_s166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8</xdr:row>
          <xdr:rowOff>31750</xdr:rowOff>
        </xdr:from>
        <xdr:to>
          <xdr:col>4</xdr:col>
          <xdr:colOff>476250</xdr:colOff>
          <xdr:row>8</xdr:row>
          <xdr:rowOff>247650</xdr:rowOff>
        </xdr:to>
        <xdr:sp macro="" textlink="">
          <xdr:nvSpPr>
            <xdr:cNvPr id="16615" name="Option Button 231" hidden="1">
              <a:extLst>
                <a:ext uri="{63B3BB69-23CF-44E3-9099-C40C66FF867C}">
                  <a14:compatExt spid="_x0000_s166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8</xdr:row>
          <xdr:rowOff>50800</xdr:rowOff>
        </xdr:from>
        <xdr:to>
          <xdr:col>6</xdr:col>
          <xdr:colOff>12700</xdr:colOff>
          <xdr:row>8</xdr:row>
          <xdr:rowOff>260350</xdr:rowOff>
        </xdr:to>
        <xdr:sp macro="" textlink="">
          <xdr:nvSpPr>
            <xdr:cNvPr id="16616" name="Option Button 232" hidden="1">
              <a:extLst>
                <a:ext uri="{63B3BB69-23CF-44E3-9099-C40C66FF867C}">
                  <a14:compatExt spid="_x0000_s166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23</xdr:row>
          <xdr:rowOff>133350</xdr:rowOff>
        </xdr:from>
        <xdr:to>
          <xdr:col>1</xdr:col>
          <xdr:colOff>685800</xdr:colOff>
          <xdr:row>25</xdr:row>
          <xdr:rowOff>95250</xdr:rowOff>
        </xdr:to>
        <xdr:sp macro="" textlink="">
          <xdr:nvSpPr>
            <xdr:cNvPr id="16621" name="Group Box 237" hidden="1">
              <a:extLst>
                <a:ext uri="{63B3BB69-23CF-44E3-9099-C40C66FF867C}">
                  <a14:compatExt spid="_x0000_s166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24</xdr:row>
          <xdr:rowOff>31750</xdr:rowOff>
        </xdr:from>
        <xdr:to>
          <xdr:col>3</xdr:col>
          <xdr:colOff>133350</xdr:colOff>
          <xdr:row>24</xdr:row>
          <xdr:rowOff>247650</xdr:rowOff>
        </xdr:to>
        <xdr:sp macro="" textlink="">
          <xdr:nvSpPr>
            <xdr:cNvPr id="16623" name="Option Button 239" hidden="1">
              <a:extLst>
                <a:ext uri="{63B3BB69-23CF-44E3-9099-C40C66FF867C}">
                  <a14:compatExt spid="_x0000_s166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24</xdr:row>
          <xdr:rowOff>31750</xdr:rowOff>
        </xdr:from>
        <xdr:to>
          <xdr:col>4</xdr:col>
          <xdr:colOff>476250</xdr:colOff>
          <xdr:row>24</xdr:row>
          <xdr:rowOff>247650</xdr:rowOff>
        </xdr:to>
        <xdr:sp macro="" textlink="">
          <xdr:nvSpPr>
            <xdr:cNvPr id="16624" name="Option Button 240" hidden="1">
              <a:extLst>
                <a:ext uri="{63B3BB69-23CF-44E3-9099-C40C66FF867C}">
                  <a14:compatExt spid="_x0000_s166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24</xdr:row>
          <xdr:rowOff>50800</xdr:rowOff>
        </xdr:from>
        <xdr:to>
          <xdr:col>6</xdr:col>
          <xdr:colOff>12700</xdr:colOff>
          <xdr:row>24</xdr:row>
          <xdr:rowOff>260350</xdr:rowOff>
        </xdr:to>
        <xdr:sp macro="" textlink="">
          <xdr:nvSpPr>
            <xdr:cNvPr id="16625" name="Option Button 241" hidden="1">
              <a:extLst>
                <a:ext uri="{63B3BB69-23CF-44E3-9099-C40C66FF867C}">
                  <a14:compatExt spid="_x0000_s1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24</xdr:row>
          <xdr:rowOff>31750</xdr:rowOff>
        </xdr:from>
        <xdr:to>
          <xdr:col>1</xdr:col>
          <xdr:colOff>279400</xdr:colOff>
          <xdr:row>24</xdr:row>
          <xdr:rowOff>247650</xdr:rowOff>
        </xdr:to>
        <xdr:sp macro="" textlink="">
          <xdr:nvSpPr>
            <xdr:cNvPr id="16672" name="obrázek 71" hidden="1">
              <a:extLst>
                <a:ext uri="{63B3BB69-23CF-44E3-9099-C40C66FF867C}">
                  <a14:compatExt spid="_x0000_s166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565150</xdr:colOff>
          <xdr:row>8</xdr:row>
          <xdr:rowOff>50800</xdr:rowOff>
        </xdr:from>
        <xdr:to>
          <xdr:col>1</xdr:col>
          <xdr:colOff>285750</xdr:colOff>
          <xdr:row>8</xdr:row>
          <xdr:rowOff>260350</xdr:rowOff>
        </xdr:to>
        <xdr:sp macro="" textlink="">
          <xdr:nvSpPr>
            <xdr:cNvPr id="16673" name="obrázek 71" hidden="1">
              <a:extLst>
                <a:ext uri="{63B3BB69-23CF-44E3-9099-C40C66FF867C}">
                  <a14:compatExt spid="_x0000_s16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7</xdr:row>
          <xdr:rowOff>146050</xdr:rowOff>
        </xdr:from>
        <xdr:to>
          <xdr:col>6</xdr:col>
          <xdr:colOff>723900</xdr:colOff>
          <xdr:row>9</xdr:row>
          <xdr:rowOff>107950</xdr:rowOff>
        </xdr:to>
        <xdr:sp macro="" textlink="">
          <xdr:nvSpPr>
            <xdr:cNvPr id="16750" name="Group Box 366" hidden="1">
              <a:extLst>
                <a:ext uri="{63B3BB69-23CF-44E3-9099-C40C66FF867C}">
                  <a14:compatExt spid="_x0000_s167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8</xdr:row>
          <xdr:rowOff>31750</xdr:rowOff>
        </xdr:from>
        <xdr:to>
          <xdr:col>3</xdr:col>
          <xdr:colOff>603250</xdr:colOff>
          <xdr:row>8</xdr:row>
          <xdr:rowOff>260350</xdr:rowOff>
        </xdr:to>
        <xdr:sp macro="" textlink="">
          <xdr:nvSpPr>
            <xdr:cNvPr id="16751" name="obrázek 71" hidden="1">
              <a:extLst>
                <a:ext uri="{63B3BB69-23CF-44E3-9099-C40C66FF867C}">
                  <a14:compatExt spid="_x0000_s167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469900</xdr:colOff>
          <xdr:row>8</xdr:row>
          <xdr:rowOff>50800</xdr:rowOff>
        </xdr:from>
        <xdr:to>
          <xdr:col>5</xdr:col>
          <xdr:colOff>203200</xdr:colOff>
          <xdr:row>8</xdr:row>
          <xdr:rowOff>260350</xdr:rowOff>
        </xdr:to>
        <xdr:sp macro="" textlink="">
          <xdr:nvSpPr>
            <xdr:cNvPr id="16752" name="obrázek 71" hidden="1">
              <a:extLst>
                <a:ext uri="{63B3BB69-23CF-44E3-9099-C40C66FF867C}">
                  <a14:compatExt spid="_x0000_s167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8</xdr:row>
          <xdr:rowOff>50800</xdr:rowOff>
        </xdr:from>
        <xdr:to>
          <xdr:col>6</xdr:col>
          <xdr:colOff>450850</xdr:colOff>
          <xdr:row>8</xdr:row>
          <xdr:rowOff>266700</xdr:rowOff>
        </xdr:to>
        <xdr:sp macro="" textlink="">
          <xdr:nvSpPr>
            <xdr:cNvPr id="16753" name="obrázek 71" hidden="1">
              <a:extLst>
                <a:ext uri="{63B3BB69-23CF-44E3-9099-C40C66FF867C}">
                  <a14:compatExt spid="_x0000_s167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23</xdr:row>
          <xdr:rowOff>146050</xdr:rowOff>
        </xdr:from>
        <xdr:to>
          <xdr:col>6</xdr:col>
          <xdr:colOff>723900</xdr:colOff>
          <xdr:row>25</xdr:row>
          <xdr:rowOff>107950</xdr:rowOff>
        </xdr:to>
        <xdr:sp macro="" textlink="">
          <xdr:nvSpPr>
            <xdr:cNvPr id="16758" name="Group Box 374" hidden="1">
              <a:extLst>
                <a:ext uri="{63B3BB69-23CF-44E3-9099-C40C66FF867C}">
                  <a14:compatExt spid="_x0000_s167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24</xdr:row>
          <xdr:rowOff>31750</xdr:rowOff>
        </xdr:from>
        <xdr:to>
          <xdr:col>3</xdr:col>
          <xdr:colOff>603250</xdr:colOff>
          <xdr:row>24</xdr:row>
          <xdr:rowOff>260350</xdr:rowOff>
        </xdr:to>
        <xdr:sp macro="" textlink="">
          <xdr:nvSpPr>
            <xdr:cNvPr id="16759" name="obrázek 71" hidden="1">
              <a:extLst>
                <a:ext uri="{63B3BB69-23CF-44E3-9099-C40C66FF867C}">
                  <a14:compatExt spid="_x0000_s167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469900</xdr:colOff>
          <xdr:row>24</xdr:row>
          <xdr:rowOff>50800</xdr:rowOff>
        </xdr:from>
        <xdr:to>
          <xdr:col>5</xdr:col>
          <xdr:colOff>203200</xdr:colOff>
          <xdr:row>24</xdr:row>
          <xdr:rowOff>260350</xdr:rowOff>
        </xdr:to>
        <xdr:sp macro="" textlink="">
          <xdr:nvSpPr>
            <xdr:cNvPr id="16760" name="obrázek 71" hidden="1">
              <a:extLst>
                <a:ext uri="{63B3BB69-23CF-44E3-9099-C40C66FF867C}">
                  <a14:compatExt spid="_x0000_s167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24</xdr:row>
          <xdr:rowOff>50800</xdr:rowOff>
        </xdr:from>
        <xdr:to>
          <xdr:col>6</xdr:col>
          <xdr:colOff>450850</xdr:colOff>
          <xdr:row>24</xdr:row>
          <xdr:rowOff>266700</xdr:rowOff>
        </xdr:to>
        <xdr:sp macro="" textlink="">
          <xdr:nvSpPr>
            <xdr:cNvPr id="16761" name="obrázek 71" hidden="1">
              <a:extLst>
                <a:ext uri="{63B3BB69-23CF-44E3-9099-C40C66FF867C}">
                  <a14:compatExt spid="_x0000_s167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312420</xdr:colOff>
      <xdr:row>3</xdr:row>
      <xdr:rowOff>83820</xdr:rowOff>
    </xdr:from>
    <xdr:to>
      <xdr:col>1</xdr:col>
      <xdr:colOff>441960</xdr:colOff>
      <xdr:row>3</xdr:row>
      <xdr:rowOff>236220</xdr:rowOff>
    </xdr:to>
    <xdr:pic>
      <xdr:nvPicPr>
        <xdr:cNvPr id="17827" name="obrázek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40" y="998220"/>
          <a:ext cx="129540" cy="1524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198120</xdr:colOff>
      <xdr:row>3</xdr:row>
      <xdr:rowOff>45720</xdr:rowOff>
    </xdr:from>
    <xdr:to>
      <xdr:col>3</xdr:col>
      <xdr:colOff>556260</xdr:colOff>
      <xdr:row>3</xdr:row>
      <xdr:rowOff>266700</xdr:rowOff>
    </xdr:to>
    <xdr:pic>
      <xdr:nvPicPr>
        <xdr:cNvPr id="17828" name="obrázek 6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2680" y="960120"/>
          <a:ext cx="358140" cy="22098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5</xdr:col>
          <xdr:colOff>152400</xdr:colOff>
          <xdr:row>1</xdr:row>
          <xdr:rowOff>247650</xdr:rowOff>
        </xdr:to>
        <xdr:sp macro="" textlink="">
          <xdr:nvSpPr>
            <xdr:cNvPr id="17426" name="Drop Down 18" hidden="1">
              <a:extLst>
                <a:ext uri="{63B3BB69-23CF-44E3-9099-C40C66FF867C}">
                  <a14:compatExt spid="_x0000_s174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0</xdr:row>
          <xdr:rowOff>304800</xdr:rowOff>
        </xdr:from>
        <xdr:to>
          <xdr:col>8</xdr:col>
          <xdr:colOff>171450</xdr:colOff>
          <xdr:row>1</xdr:row>
          <xdr:rowOff>241300</xdr:rowOff>
        </xdr:to>
        <xdr:sp macro="" textlink="">
          <xdr:nvSpPr>
            <xdr:cNvPr id="17427" name="Drop Down 19" hidden="1">
              <a:extLst>
                <a:ext uri="{63B3BB69-23CF-44E3-9099-C40C66FF867C}">
                  <a14:compatExt spid="_x0000_s174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203200</xdr:colOff>
          <xdr:row>3</xdr:row>
          <xdr:rowOff>57150</xdr:rowOff>
        </xdr:from>
        <xdr:to>
          <xdr:col>8</xdr:col>
          <xdr:colOff>552450</xdr:colOff>
          <xdr:row>3</xdr:row>
          <xdr:rowOff>279400</xdr:rowOff>
        </xdr:to>
        <xdr:sp macro="" textlink="">
          <xdr:nvSpPr>
            <xdr:cNvPr id="17430" name="obrázek 69" hidden="1">
              <a:extLst>
                <a:ext uri="{63B3BB69-23CF-44E3-9099-C40C66FF867C}">
                  <a14:compatExt spid="_x0000_s174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317500</xdr:colOff>
          <xdr:row>3</xdr:row>
          <xdr:rowOff>88900</xdr:rowOff>
        </xdr:from>
        <xdr:to>
          <xdr:col>6</xdr:col>
          <xdr:colOff>438150</xdr:colOff>
          <xdr:row>3</xdr:row>
          <xdr:rowOff>279400</xdr:rowOff>
        </xdr:to>
        <xdr:sp macro="" textlink="">
          <xdr:nvSpPr>
            <xdr:cNvPr id="17431" name="obrázek 70" hidden="1">
              <a:extLst>
                <a:ext uri="{63B3BB69-23CF-44E3-9099-C40C66FF867C}">
                  <a14:compatExt spid="_x0000_s174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323850</xdr:colOff>
          <xdr:row>3</xdr:row>
          <xdr:rowOff>57150</xdr:rowOff>
        </xdr:from>
        <xdr:to>
          <xdr:col>12</xdr:col>
          <xdr:colOff>450850</xdr:colOff>
          <xdr:row>3</xdr:row>
          <xdr:rowOff>247650</xdr:rowOff>
        </xdr:to>
        <xdr:sp macro="" textlink="">
          <xdr:nvSpPr>
            <xdr:cNvPr id="17440" name="obrázek 70" hidden="1">
              <a:extLst>
                <a:ext uri="{63B3BB69-23CF-44E3-9099-C40C66FF867C}">
                  <a14:compatExt spid="_x0000_s174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323850</xdr:colOff>
          <xdr:row>19</xdr:row>
          <xdr:rowOff>57150</xdr:rowOff>
        </xdr:from>
        <xdr:to>
          <xdr:col>1</xdr:col>
          <xdr:colOff>450850</xdr:colOff>
          <xdr:row>19</xdr:row>
          <xdr:rowOff>247650</xdr:rowOff>
        </xdr:to>
        <xdr:sp macro="" textlink="">
          <xdr:nvSpPr>
            <xdr:cNvPr id="17523" name="obrázek 70" hidden="1">
              <a:extLst>
                <a:ext uri="{63B3BB69-23CF-44E3-9099-C40C66FF867C}">
                  <a14:compatExt spid="_x0000_s175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7</xdr:row>
          <xdr:rowOff>165100</xdr:rowOff>
        </xdr:from>
        <xdr:to>
          <xdr:col>1</xdr:col>
          <xdr:colOff>685800</xdr:colOff>
          <xdr:row>9</xdr:row>
          <xdr:rowOff>127000</xdr:rowOff>
        </xdr:to>
        <xdr:sp macro="" textlink="">
          <xdr:nvSpPr>
            <xdr:cNvPr id="17579" name="Group Box 171" hidden="1">
              <a:extLst>
                <a:ext uri="{63B3BB69-23CF-44E3-9099-C40C66FF867C}">
                  <a14:compatExt spid="_x0000_s17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8</xdr:row>
          <xdr:rowOff>31750</xdr:rowOff>
        </xdr:from>
        <xdr:to>
          <xdr:col>3</xdr:col>
          <xdr:colOff>95250</xdr:colOff>
          <xdr:row>8</xdr:row>
          <xdr:rowOff>247650</xdr:rowOff>
        </xdr:to>
        <xdr:sp macro="" textlink="">
          <xdr:nvSpPr>
            <xdr:cNvPr id="17581" name="Option Button 173" hidden="1">
              <a:extLst>
                <a:ext uri="{63B3BB69-23CF-44E3-9099-C40C66FF867C}">
                  <a14:compatExt spid="_x0000_s175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8</xdr:row>
          <xdr:rowOff>19050</xdr:rowOff>
        </xdr:from>
        <xdr:to>
          <xdr:col>4</xdr:col>
          <xdr:colOff>400050</xdr:colOff>
          <xdr:row>8</xdr:row>
          <xdr:rowOff>247650</xdr:rowOff>
        </xdr:to>
        <xdr:sp macro="" textlink="">
          <xdr:nvSpPr>
            <xdr:cNvPr id="17582" name="Option Button 174" hidden="1">
              <a:extLst>
                <a:ext uri="{63B3BB69-23CF-44E3-9099-C40C66FF867C}">
                  <a14:compatExt spid="_x0000_s175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431800</xdr:colOff>
          <xdr:row>8</xdr:row>
          <xdr:rowOff>31750</xdr:rowOff>
        </xdr:from>
        <xdr:to>
          <xdr:col>6</xdr:col>
          <xdr:colOff>12700</xdr:colOff>
          <xdr:row>8</xdr:row>
          <xdr:rowOff>247650</xdr:rowOff>
        </xdr:to>
        <xdr:sp macro="" textlink="">
          <xdr:nvSpPr>
            <xdr:cNvPr id="17583" name="Option Button 175" hidden="1">
              <a:extLst>
                <a:ext uri="{63B3BB69-23CF-44E3-9099-C40C66FF867C}">
                  <a14:compatExt spid="_x0000_s175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23</xdr:row>
          <xdr:rowOff>165100</xdr:rowOff>
        </xdr:from>
        <xdr:to>
          <xdr:col>1</xdr:col>
          <xdr:colOff>685800</xdr:colOff>
          <xdr:row>25</xdr:row>
          <xdr:rowOff>127000</xdr:rowOff>
        </xdr:to>
        <xdr:sp macro="" textlink="">
          <xdr:nvSpPr>
            <xdr:cNvPr id="17594" name="Group Box 186" hidden="1">
              <a:extLst>
                <a:ext uri="{63B3BB69-23CF-44E3-9099-C40C66FF867C}">
                  <a14:compatExt spid="_x0000_s175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Nulová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514350</xdr:colOff>
          <xdr:row>24</xdr:row>
          <xdr:rowOff>31750</xdr:rowOff>
        </xdr:from>
        <xdr:to>
          <xdr:col>3</xdr:col>
          <xdr:colOff>95250</xdr:colOff>
          <xdr:row>24</xdr:row>
          <xdr:rowOff>247650</xdr:rowOff>
        </xdr:to>
        <xdr:sp macro="" textlink="">
          <xdr:nvSpPr>
            <xdr:cNvPr id="17596" name="Option Button 188" hidden="1">
              <a:extLst>
                <a:ext uri="{63B3BB69-23CF-44E3-9099-C40C66FF867C}">
                  <a14:compatExt spid="_x0000_s175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24</xdr:row>
          <xdr:rowOff>19050</xdr:rowOff>
        </xdr:from>
        <xdr:to>
          <xdr:col>4</xdr:col>
          <xdr:colOff>400050</xdr:colOff>
          <xdr:row>24</xdr:row>
          <xdr:rowOff>247650</xdr:rowOff>
        </xdr:to>
        <xdr:sp macro="" textlink="">
          <xdr:nvSpPr>
            <xdr:cNvPr id="17597" name="Option Button 189" hidden="1">
              <a:extLst>
                <a:ext uri="{63B3BB69-23CF-44E3-9099-C40C66FF867C}">
                  <a14:compatExt spid="_x0000_s175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412750</xdr:colOff>
          <xdr:row>24</xdr:row>
          <xdr:rowOff>19050</xdr:rowOff>
        </xdr:from>
        <xdr:to>
          <xdr:col>5</xdr:col>
          <xdr:colOff>717550</xdr:colOff>
          <xdr:row>24</xdr:row>
          <xdr:rowOff>247650</xdr:rowOff>
        </xdr:to>
        <xdr:sp macro="" textlink="">
          <xdr:nvSpPr>
            <xdr:cNvPr id="17598" name="Option Button 190" hidden="1">
              <a:extLst>
                <a:ext uri="{63B3BB69-23CF-44E3-9099-C40C66FF867C}">
                  <a14:compatExt spid="_x0000_s175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584200</xdr:colOff>
          <xdr:row>24</xdr:row>
          <xdr:rowOff>107950</xdr:rowOff>
        </xdr:from>
        <xdr:to>
          <xdr:col>1</xdr:col>
          <xdr:colOff>304800</xdr:colOff>
          <xdr:row>25</xdr:row>
          <xdr:rowOff>19050</xdr:rowOff>
        </xdr:to>
        <xdr:sp macro="" textlink="">
          <xdr:nvSpPr>
            <xdr:cNvPr id="17599" name="obrázek 71" hidden="1">
              <a:extLst>
                <a:ext uri="{63B3BB69-23CF-44E3-9099-C40C66FF867C}">
                  <a14:compatExt spid="_x0000_s175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8</xdr:row>
          <xdr:rowOff>50800</xdr:rowOff>
        </xdr:from>
        <xdr:to>
          <xdr:col>1</xdr:col>
          <xdr:colOff>279400</xdr:colOff>
          <xdr:row>8</xdr:row>
          <xdr:rowOff>279400</xdr:rowOff>
        </xdr:to>
        <xdr:sp macro="" textlink="">
          <xdr:nvSpPr>
            <xdr:cNvPr id="17628" name="obrázek 71" hidden="1">
              <a:extLst>
                <a:ext uri="{63B3BB69-23CF-44E3-9099-C40C66FF867C}">
                  <a14:compatExt spid="_x0000_s176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7</xdr:row>
          <xdr:rowOff>152400</xdr:rowOff>
        </xdr:from>
        <xdr:to>
          <xdr:col>6</xdr:col>
          <xdr:colOff>723900</xdr:colOff>
          <xdr:row>9</xdr:row>
          <xdr:rowOff>114300</xdr:rowOff>
        </xdr:to>
        <xdr:sp macro="" textlink="">
          <xdr:nvSpPr>
            <xdr:cNvPr id="17671" name="Group Box 263" hidden="1">
              <a:extLst>
                <a:ext uri="{63B3BB69-23CF-44E3-9099-C40C66FF867C}">
                  <a14:compatExt spid="_x0000_s176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8</xdr:row>
          <xdr:rowOff>31750</xdr:rowOff>
        </xdr:from>
        <xdr:to>
          <xdr:col>3</xdr:col>
          <xdr:colOff>565150</xdr:colOff>
          <xdr:row>8</xdr:row>
          <xdr:rowOff>260350</xdr:rowOff>
        </xdr:to>
        <xdr:sp macro="" textlink="">
          <xdr:nvSpPr>
            <xdr:cNvPr id="17672" name="obrázek 71" hidden="1">
              <a:extLst>
                <a:ext uri="{63B3BB69-23CF-44E3-9099-C40C66FF867C}">
                  <a14:compatExt spid="_x0000_s176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393700</xdr:colOff>
          <xdr:row>8</xdr:row>
          <xdr:rowOff>50800</xdr:rowOff>
        </xdr:from>
        <xdr:to>
          <xdr:col>5</xdr:col>
          <xdr:colOff>114300</xdr:colOff>
          <xdr:row>8</xdr:row>
          <xdr:rowOff>260350</xdr:rowOff>
        </xdr:to>
        <xdr:sp macro="" textlink="">
          <xdr:nvSpPr>
            <xdr:cNvPr id="17673" name="obrázek 71" hidden="1">
              <a:extLst>
                <a:ext uri="{63B3BB69-23CF-44E3-9099-C40C66FF867C}">
                  <a14:compatExt spid="_x0000_s17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723900</xdr:colOff>
          <xdr:row>8</xdr:row>
          <xdr:rowOff>50800</xdr:rowOff>
        </xdr:from>
        <xdr:to>
          <xdr:col>6</xdr:col>
          <xdr:colOff>450850</xdr:colOff>
          <xdr:row>8</xdr:row>
          <xdr:rowOff>266700</xdr:rowOff>
        </xdr:to>
        <xdr:sp macro="" textlink="">
          <xdr:nvSpPr>
            <xdr:cNvPr id="17674" name="obrázek 71" hidden="1">
              <a:extLst>
                <a:ext uri="{63B3BB69-23CF-44E3-9099-C40C66FF867C}">
                  <a14:compatExt spid="_x0000_s17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317500</xdr:colOff>
          <xdr:row>23</xdr:row>
          <xdr:rowOff>146050</xdr:rowOff>
        </xdr:from>
        <xdr:to>
          <xdr:col>6</xdr:col>
          <xdr:colOff>723900</xdr:colOff>
          <xdr:row>25</xdr:row>
          <xdr:rowOff>107950</xdr:rowOff>
        </xdr:to>
        <xdr:sp macro="" textlink="">
          <xdr:nvSpPr>
            <xdr:cNvPr id="17679" name="Group Box 271" hidden="1">
              <a:extLst>
                <a:ext uri="{63B3BB69-23CF-44E3-9099-C40C66FF867C}">
                  <a14:compatExt spid="_x0000_s176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Alternativní hypotéza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24</xdr:row>
          <xdr:rowOff>31750</xdr:rowOff>
        </xdr:from>
        <xdr:to>
          <xdr:col>3</xdr:col>
          <xdr:colOff>565150</xdr:colOff>
          <xdr:row>24</xdr:row>
          <xdr:rowOff>260350</xdr:rowOff>
        </xdr:to>
        <xdr:sp macro="" textlink="">
          <xdr:nvSpPr>
            <xdr:cNvPr id="17680" name="obrázek 71" hidden="1">
              <a:extLst>
                <a:ext uri="{63B3BB69-23CF-44E3-9099-C40C66FF867C}">
                  <a14:compatExt spid="_x0000_s176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393700</xdr:colOff>
          <xdr:row>24</xdr:row>
          <xdr:rowOff>50800</xdr:rowOff>
        </xdr:from>
        <xdr:to>
          <xdr:col>5</xdr:col>
          <xdr:colOff>114300</xdr:colOff>
          <xdr:row>24</xdr:row>
          <xdr:rowOff>260350</xdr:rowOff>
        </xdr:to>
        <xdr:sp macro="" textlink="">
          <xdr:nvSpPr>
            <xdr:cNvPr id="17681" name="obrázek 71" hidden="1">
              <a:extLst>
                <a:ext uri="{63B3BB69-23CF-44E3-9099-C40C66FF867C}">
                  <a14:compatExt spid="_x0000_s176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698500</xdr:colOff>
          <xdr:row>24</xdr:row>
          <xdr:rowOff>50800</xdr:rowOff>
        </xdr:from>
        <xdr:to>
          <xdr:col>6</xdr:col>
          <xdr:colOff>431800</xdr:colOff>
          <xdr:row>24</xdr:row>
          <xdr:rowOff>260350</xdr:rowOff>
        </xdr:to>
        <xdr:sp macro="" textlink="">
          <xdr:nvSpPr>
            <xdr:cNvPr id="17682" name="obrázek 71" hidden="1">
              <a:extLst>
                <a:ext uri="{63B3BB69-23CF-44E3-9099-C40C66FF867C}">
                  <a14:compatExt spid="_x0000_s176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CFFCC" mc:Ignorable="a14" a14:legacySpreadsheetColorIndex="42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eubauerj\Documents\Vojensk&#233;%20rozhledy\Aplikace%20STAT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\Aplikace%20STAT1_VV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eubauerj\AppData\Local\Microsoft\Windows\Temporary%20Internet%20Files\Content.Outlook\YREJ0ECG\Aplikace%20STAT1%20-%20Gra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y"/>
      <sheetName val="titul"/>
      <sheetName val="data"/>
      <sheetName val="popisné charakteristiky"/>
      <sheetName val="bodové rozdělení"/>
      <sheetName val="intervalové rozdělení"/>
      <sheetName val="1V - normální"/>
      <sheetName val="1V - libovolné"/>
      <sheetName val="2V - normální"/>
      <sheetName val="2V - libovolné"/>
      <sheetName val="2V - párový test"/>
      <sheetName val="1V a 2V - podíly"/>
      <sheetName val="tabulky "/>
      <sheetName val="tabulky_old"/>
      <sheetName val="tabulky_old2"/>
    </sheetNames>
    <sheetDataSet>
      <sheetData sheetId="0">
        <row r="2">
          <cell r="E2" t="str">
            <v xml:space="preserve">sed/leh - experimentální skupina </v>
          </cell>
        </row>
        <row r="3">
          <cell r="E3" t="str">
            <v>sed/leh - kontrolní skupina</v>
          </cell>
        </row>
        <row r="4">
          <cell r="E4" t="str">
            <v>moje data 3</v>
          </cell>
        </row>
        <row r="5">
          <cell r="E5" t="str">
            <v>tuk v mléku</v>
          </cell>
        </row>
        <row r="6">
          <cell r="E6" t="str">
            <v>výška chlapců</v>
          </cell>
        </row>
        <row r="7">
          <cell r="E7" t="str">
            <v>prach ve vzduchu</v>
          </cell>
        </row>
        <row r="8">
          <cell r="E8" t="str">
            <v>38-1 laťovky</v>
          </cell>
        </row>
        <row r="9">
          <cell r="E9" t="str">
            <v>38-2 koncentrace</v>
          </cell>
        </row>
        <row r="10">
          <cell r="E10" t="str">
            <v>38-3 test z matematiky</v>
          </cell>
        </row>
        <row r="11">
          <cell r="E11" t="str">
            <v>38-4 zemětřesení</v>
          </cell>
        </row>
        <row r="12">
          <cell r="E12" t="str">
            <v>38-5 rychlost aut</v>
          </cell>
        </row>
        <row r="13">
          <cell r="E13" t="str">
            <v>45-2 hodnoty</v>
          </cell>
        </row>
        <row r="14">
          <cell r="E14" t="str">
            <v>58-1 trestné střílení</v>
          </cell>
        </row>
        <row r="15">
          <cell r="E15" t="str">
            <v>58-2 hmotnost soli</v>
          </cell>
        </row>
        <row r="16">
          <cell r="E16" t="str">
            <v>58-3 příchod obsluhy</v>
          </cell>
        </row>
        <row r="17">
          <cell r="E17" t="str">
            <v>tank</v>
          </cell>
        </row>
        <row r="18">
          <cell r="E18" t="str">
            <v>166-3 tank nástup</v>
          </cell>
        </row>
        <row r="19">
          <cell r="E19" t="str">
            <v>166-4 čas operace</v>
          </cell>
        </row>
        <row r="20">
          <cell r="E20" t="str">
            <v>benzín</v>
          </cell>
        </row>
        <row r="21">
          <cell r="E21" t="str">
            <v>koncentrace</v>
          </cell>
        </row>
        <row r="22">
          <cell r="E22" t="str">
            <v>automat</v>
          </cell>
        </row>
        <row r="23">
          <cell r="E23" t="str">
            <v>179-6 letadlo</v>
          </cell>
        </row>
        <row r="24">
          <cell r="E24" t="str">
            <v xml:space="preserve">179-7 obilí </v>
          </cell>
        </row>
        <row r="25">
          <cell r="E25" t="str">
            <v>180-8 výrobek</v>
          </cell>
        </row>
        <row r="26">
          <cell r="E26" t="str">
            <v>180-10 disky</v>
          </cell>
        </row>
        <row r="27">
          <cell r="E27" t="str">
            <v>žárovky</v>
          </cell>
        </row>
        <row r="28">
          <cell r="E28" t="str">
            <v>válečky</v>
          </cell>
        </row>
        <row r="29">
          <cell r="E29" t="str">
            <v>203-2 káva</v>
          </cell>
        </row>
        <row r="30">
          <cell r="E30" t="str">
            <v>203-5 nápoj</v>
          </cell>
        </row>
        <row r="31">
          <cell r="E31" t="str">
            <v>203-10 cestující</v>
          </cell>
        </row>
        <row r="32">
          <cell r="E32" t="str">
            <v>204-12 nerost</v>
          </cell>
        </row>
        <row r="33">
          <cell r="E33" t="str">
            <v>skok kontrolní</v>
          </cell>
        </row>
        <row r="34">
          <cell r="E34" t="str">
            <v>skok experimentální</v>
          </cell>
        </row>
        <row r="35">
          <cell r="E35" t="str">
            <v>před kurzem</v>
          </cell>
        </row>
        <row r="36">
          <cell r="E36" t="str">
            <v>po kurzu</v>
          </cell>
        </row>
        <row r="37">
          <cell r="E37" t="str">
            <v>216-2 samice</v>
          </cell>
        </row>
        <row r="38">
          <cell r="E38" t="str">
            <v>216-2 samec</v>
          </cell>
        </row>
        <row r="39">
          <cell r="E39" t="str">
            <v>216-3 1.metoda</v>
          </cell>
        </row>
        <row r="40">
          <cell r="E40" t="str">
            <v>216-3 2.metoda</v>
          </cell>
        </row>
        <row r="41">
          <cell r="E41" t="str">
            <v>216-5 směs A</v>
          </cell>
        </row>
        <row r="42">
          <cell r="E42" t="str">
            <v>216-5 směs B</v>
          </cell>
        </row>
        <row r="43">
          <cell r="E43" t="str">
            <v>216-6 dodavatel A</v>
          </cell>
        </row>
        <row r="44">
          <cell r="E44" t="str">
            <v>216-6 dodavatel B</v>
          </cell>
        </row>
        <row r="45">
          <cell r="E45" t="str">
            <v>216-8 shyby před</v>
          </cell>
        </row>
        <row r="46">
          <cell r="E46" t="str">
            <v>216-8 shyby po</v>
          </cell>
        </row>
        <row r="47">
          <cell r="E47" t="str">
            <v>217-13 německá sůl</v>
          </cell>
        </row>
        <row r="48">
          <cell r="E48" t="str">
            <v>217-13 ruská sůl</v>
          </cell>
        </row>
        <row r="49">
          <cell r="E49" t="str">
            <v>217-14 porost A</v>
          </cell>
        </row>
        <row r="50">
          <cell r="E50" t="str">
            <v>217-14 porost B</v>
          </cell>
        </row>
        <row r="51">
          <cell r="E51" t="str">
            <v>217-15 výškoměr A</v>
          </cell>
        </row>
        <row r="52">
          <cell r="E52" t="str">
            <v>217-15 výškoměr B</v>
          </cell>
        </row>
        <row r="53">
          <cell r="E53" t="str">
            <v>videokazety</v>
          </cell>
        </row>
        <row r="54">
          <cell r="E54" t="str">
            <v>230-4 zásahy</v>
          </cell>
        </row>
        <row r="55">
          <cell r="E55" t="str">
            <v>230-5 mléko</v>
          </cell>
        </row>
        <row r="56">
          <cell r="E56" t="str">
            <v>230-8 počet aut</v>
          </cell>
        </row>
        <row r="57">
          <cell r="E57" t="str">
            <v>230-10 vepři</v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y"/>
      <sheetName val="titul"/>
      <sheetName val="data"/>
      <sheetName val="popisné charakteristiky"/>
      <sheetName val="bodové rozdělení"/>
      <sheetName val="intervalové rozdělení"/>
      <sheetName val="1V - normální"/>
      <sheetName val="1V - libovolné"/>
      <sheetName val="2V - normální"/>
      <sheetName val="2V - libovolné"/>
      <sheetName val="2V - párový test"/>
      <sheetName val="1V a 2V - podíly"/>
      <sheetName val="kontingenční tabulka"/>
      <sheetName val="tabulky "/>
      <sheetName val="tabulky_old"/>
      <sheetName val="tabulky_old2"/>
    </sheetNames>
    <sheetDataSet>
      <sheetData sheetId="0">
        <row r="2">
          <cell r="E2" t="str">
            <v>moje data 1</v>
          </cell>
        </row>
        <row r="3">
          <cell r="E3" t="str">
            <v>moje data 2</v>
          </cell>
        </row>
        <row r="4">
          <cell r="E4" t="str">
            <v>moje data 3</v>
          </cell>
        </row>
        <row r="5">
          <cell r="E5" t="str">
            <v>tuk v mléku</v>
          </cell>
        </row>
        <row r="6">
          <cell r="E6" t="str">
            <v>výška chlapců</v>
          </cell>
        </row>
        <row r="7">
          <cell r="E7" t="str">
            <v>prach ve vzduchu</v>
          </cell>
        </row>
        <row r="8">
          <cell r="E8" t="str">
            <v>38-1 laťovky</v>
          </cell>
        </row>
        <row r="9">
          <cell r="E9" t="str">
            <v>38-2 koncentrace</v>
          </cell>
        </row>
        <row r="10">
          <cell r="E10" t="str">
            <v>38-3 test z matematiky</v>
          </cell>
        </row>
        <row r="11">
          <cell r="E11" t="str">
            <v>38-4 zemětřesení</v>
          </cell>
        </row>
        <row r="12">
          <cell r="E12" t="str">
            <v>38-5 rychlost aut</v>
          </cell>
        </row>
        <row r="13">
          <cell r="E13" t="str">
            <v>45-2 hodnoty</v>
          </cell>
        </row>
        <row r="14">
          <cell r="E14" t="str">
            <v>58-1 trestné střílení</v>
          </cell>
        </row>
        <row r="15">
          <cell r="E15" t="str">
            <v>58-2 hmotnost soli</v>
          </cell>
        </row>
        <row r="16">
          <cell r="E16" t="str">
            <v>58-3 příchod obsluhy</v>
          </cell>
        </row>
        <row r="17">
          <cell r="E17" t="str">
            <v>tank</v>
          </cell>
        </row>
        <row r="18">
          <cell r="E18" t="str">
            <v>166-3 tank nástup</v>
          </cell>
        </row>
        <row r="19">
          <cell r="E19" t="str">
            <v>166-4 čas operace</v>
          </cell>
        </row>
        <row r="20">
          <cell r="E20" t="str">
            <v>benzín</v>
          </cell>
        </row>
        <row r="21">
          <cell r="E21" t="str">
            <v>koncentrace</v>
          </cell>
        </row>
        <row r="22">
          <cell r="E22" t="str">
            <v>automat</v>
          </cell>
        </row>
        <row r="23">
          <cell r="E23" t="str">
            <v>179-6 letadlo</v>
          </cell>
        </row>
        <row r="24">
          <cell r="E24" t="str">
            <v xml:space="preserve">179-7 obilí </v>
          </cell>
        </row>
        <row r="25">
          <cell r="E25" t="str">
            <v>180-8 výrobek</v>
          </cell>
        </row>
        <row r="26">
          <cell r="E26" t="str">
            <v>180-10 disky</v>
          </cell>
        </row>
        <row r="27">
          <cell r="E27" t="str">
            <v>žárovky</v>
          </cell>
        </row>
        <row r="28">
          <cell r="E28" t="str">
            <v>válečky</v>
          </cell>
        </row>
        <row r="29">
          <cell r="E29" t="str">
            <v>203-2 káva</v>
          </cell>
        </row>
        <row r="30">
          <cell r="E30" t="str">
            <v>203-5 nápoj</v>
          </cell>
        </row>
        <row r="31">
          <cell r="E31" t="str">
            <v>203-10 cestující</v>
          </cell>
        </row>
        <row r="32">
          <cell r="E32" t="str">
            <v>204-12 nerost</v>
          </cell>
        </row>
        <row r="33">
          <cell r="E33" t="str">
            <v>skok kontrolní</v>
          </cell>
        </row>
        <row r="34">
          <cell r="E34" t="str">
            <v>skok experimentální</v>
          </cell>
        </row>
        <row r="35">
          <cell r="E35" t="str">
            <v>před kurzem</v>
          </cell>
        </row>
        <row r="36">
          <cell r="E36" t="str">
            <v>po kurzu</v>
          </cell>
        </row>
        <row r="37">
          <cell r="E37" t="str">
            <v>216-2 samice</v>
          </cell>
        </row>
        <row r="38">
          <cell r="E38" t="str">
            <v>216-2 samec</v>
          </cell>
        </row>
        <row r="39">
          <cell r="E39" t="str">
            <v>216-3 1.metoda</v>
          </cell>
        </row>
        <row r="40">
          <cell r="E40" t="str">
            <v>216-3 2.metoda</v>
          </cell>
        </row>
        <row r="41">
          <cell r="E41" t="str">
            <v>216-5 směs A</v>
          </cell>
        </row>
        <row r="42">
          <cell r="E42" t="str">
            <v>216-5 směs B</v>
          </cell>
        </row>
        <row r="43">
          <cell r="E43" t="str">
            <v>216-6 dodavatel A</v>
          </cell>
        </row>
        <row r="44">
          <cell r="E44" t="str">
            <v>216-6 dodavatel B</v>
          </cell>
        </row>
        <row r="45">
          <cell r="E45" t="str">
            <v>216-8 shyby před</v>
          </cell>
        </row>
        <row r="46">
          <cell r="E46" t="str">
            <v>216-8 shyby po</v>
          </cell>
        </row>
        <row r="47">
          <cell r="E47" t="str">
            <v>217-13 německá sůl</v>
          </cell>
        </row>
        <row r="48">
          <cell r="E48" t="str">
            <v>217-13 ruská sůl</v>
          </cell>
        </row>
        <row r="49">
          <cell r="E49" t="str">
            <v>217-14 porost A</v>
          </cell>
        </row>
        <row r="50">
          <cell r="E50" t="str">
            <v>217-14 porost B</v>
          </cell>
        </row>
        <row r="51">
          <cell r="E51" t="str">
            <v>217-15 výškoměr A</v>
          </cell>
        </row>
        <row r="52">
          <cell r="E52" t="str">
            <v>217-15 výškoměr B</v>
          </cell>
        </row>
        <row r="53">
          <cell r="E53" t="str">
            <v>videokazety</v>
          </cell>
        </row>
        <row r="54">
          <cell r="E54" t="str">
            <v>230-4 zásahy</v>
          </cell>
        </row>
        <row r="55">
          <cell r="E55" t="str">
            <v>230-5 mléko</v>
          </cell>
        </row>
        <row r="56">
          <cell r="E56" t="str">
            <v>230-8 počet aut</v>
          </cell>
        </row>
        <row r="57">
          <cell r="E57" t="str">
            <v>230-10 vepři</v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y"/>
      <sheetName val="titul"/>
      <sheetName val="data"/>
      <sheetName val="popisné charakteristiky"/>
      <sheetName val="bodové rozdělení"/>
      <sheetName val="intervalové rozdělení"/>
      <sheetName val="1V - normální"/>
      <sheetName val="1V - libovolné"/>
      <sheetName val="2V - normální"/>
      <sheetName val="2V - libovolné"/>
      <sheetName val="2V - párový test"/>
      <sheetName val="1V a 2V - podíly"/>
      <sheetName val="tabulky"/>
    </sheetNames>
    <sheetDataSet>
      <sheetData sheetId="0">
        <row r="2">
          <cell r="E2" t="str">
            <v>moje data 1</v>
          </cell>
        </row>
        <row r="3">
          <cell r="E3" t="str">
            <v>moje data 2</v>
          </cell>
        </row>
        <row r="4">
          <cell r="E4" t="str">
            <v>moje data 3</v>
          </cell>
        </row>
        <row r="5">
          <cell r="E5" t="str">
            <v>tuk v mléku</v>
          </cell>
        </row>
        <row r="6">
          <cell r="E6" t="str">
            <v>výška chlapců</v>
          </cell>
        </row>
        <row r="7">
          <cell r="E7" t="str">
            <v>prach ve vzduchu</v>
          </cell>
        </row>
        <row r="8">
          <cell r="E8" t="str">
            <v>38-1 laťovky</v>
          </cell>
        </row>
        <row r="9">
          <cell r="E9" t="str">
            <v>38-2 koncentrace</v>
          </cell>
        </row>
        <row r="10">
          <cell r="E10" t="str">
            <v>38-3 test z matematiky</v>
          </cell>
        </row>
        <row r="11">
          <cell r="E11" t="str">
            <v>38-4 zemětřesení</v>
          </cell>
        </row>
        <row r="12">
          <cell r="E12" t="str">
            <v>38-5 rychlost aut</v>
          </cell>
        </row>
        <row r="13">
          <cell r="E13" t="str">
            <v>45-2 hodnoty</v>
          </cell>
        </row>
        <row r="14">
          <cell r="E14" t="str">
            <v>58-1 trestné střílení</v>
          </cell>
        </row>
        <row r="15">
          <cell r="E15" t="str">
            <v>58-2 hmotnost soli</v>
          </cell>
        </row>
        <row r="16">
          <cell r="E16" t="str">
            <v>58-3 příchod obsluhy</v>
          </cell>
        </row>
        <row r="17">
          <cell r="E17" t="str">
            <v>tank</v>
          </cell>
        </row>
        <row r="18">
          <cell r="E18" t="str">
            <v>166-3 tank nástup</v>
          </cell>
        </row>
        <row r="19">
          <cell r="E19" t="str">
            <v>166-4 čas operace</v>
          </cell>
        </row>
        <row r="20">
          <cell r="E20" t="str">
            <v>benzín</v>
          </cell>
        </row>
        <row r="21">
          <cell r="E21" t="str">
            <v>koncentrace</v>
          </cell>
        </row>
        <row r="22">
          <cell r="E22" t="str">
            <v>automat</v>
          </cell>
        </row>
        <row r="23">
          <cell r="E23" t="str">
            <v>179-6 letadlo</v>
          </cell>
        </row>
        <row r="24">
          <cell r="E24" t="str">
            <v xml:space="preserve">179-7 obilí </v>
          </cell>
        </row>
        <row r="25">
          <cell r="E25" t="str">
            <v>180-8 výrobek</v>
          </cell>
        </row>
        <row r="26">
          <cell r="E26" t="str">
            <v>180-10 disky</v>
          </cell>
        </row>
        <row r="27">
          <cell r="E27" t="str">
            <v>žárovky</v>
          </cell>
        </row>
        <row r="28">
          <cell r="E28" t="str">
            <v>válečky</v>
          </cell>
        </row>
        <row r="29">
          <cell r="E29" t="str">
            <v>203-2 káva</v>
          </cell>
        </row>
        <row r="30">
          <cell r="E30" t="str">
            <v>203-5 nápoj</v>
          </cell>
        </row>
        <row r="31">
          <cell r="E31" t="str">
            <v>203-10 cestující</v>
          </cell>
        </row>
        <row r="32">
          <cell r="E32" t="str">
            <v>204-12 nerost</v>
          </cell>
        </row>
        <row r="33">
          <cell r="E33" t="str">
            <v>skok kontrolní</v>
          </cell>
        </row>
        <row r="34">
          <cell r="E34" t="str">
            <v>skok experimentální</v>
          </cell>
        </row>
        <row r="35">
          <cell r="E35" t="str">
            <v>před kurzem</v>
          </cell>
        </row>
        <row r="36">
          <cell r="E36" t="str">
            <v>po kurzu</v>
          </cell>
        </row>
        <row r="37">
          <cell r="E37" t="str">
            <v>216-2 samice</v>
          </cell>
        </row>
        <row r="38">
          <cell r="E38" t="str">
            <v>216-2 samec</v>
          </cell>
        </row>
        <row r="39">
          <cell r="E39" t="str">
            <v>216-3 1.metoda</v>
          </cell>
        </row>
        <row r="40">
          <cell r="E40" t="str">
            <v>216-3 2.metoda</v>
          </cell>
        </row>
        <row r="41">
          <cell r="E41" t="str">
            <v>216-5 směs A</v>
          </cell>
        </row>
        <row r="42">
          <cell r="E42" t="str">
            <v>216-5 směs B</v>
          </cell>
        </row>
        <row r="43">
          <cell r="E43" t="str">
            <v>216-6 dodavatel A</v>
          </cell>
        </row>
        <row r="44">
          <cell r="E44" t="str">
            <v>216-6 dodavatel B</v>
          </cell>
        </row>
        <row r="45">
          <cell r="E45" t="str">
            <v>216-8 shyby před</v>
          </cell>
        </row>
        <row r="46">
          <cell r="E46" t="str">
            <v>216-8 shyby po</v>
          </cell>
        </row>
        <row r="47">
          <cell r="E47" t="str">
            <v>217-13 německá sůl</v>
          </cell>
        </row>
        <row r="48">
          <cell r="E48" t="str">
            <v>217-13 ruská sůl</v>
          </cell>
        </row>
        <row r="49">
          <cell r="E49" t="str">
            <v>217-14 porost A</v>
          </cell>
        </row>
        <row r="50">
          <cell r="E50" t="str">
            <v>217-14 porost B</v>
          </cell>
        </row>
        <row r="51">
          <cell r="E51" t="str">
            <v>217-15 výškoměr A</v>
          </cell>
        </row>
        <row r="52">
          <cell r="E52" t="str">
            <v>217-15 výškoměr B</v>
          </cell>
        </row>
        <row r="53">
          <cell r="E53" t="str">
            <v>videokazety</v>
          </cell>
        </row>
        <row r="54">
          <cell r="E54" t="str">
            <v>230-4 zásahy</v>
          </cell>
        </row>
        <row r="55">
          <cell r="E55" t="str">
            <v>230-5 mléko</v>
          </cell>
        </row>
        <row r="56">
          <cell r="E56" t="str">
            <v>230-8 počet aut</v>
          </cell>
        </row>
        <row r="57">
          <cell r="E57" t="str">
            <v>230-10 vepři</v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03.bin"/><Relationship Id="rId13" Type="http://schemas.openxmlformats.org/officeDocument/2006/relationships/oleObject" Target="../embeddings/oleObject107.bin"/><Relationship Id="rId18" Type="http://schemas.openxmlformats.org/officeDocument/2006/relationships/image" Target="../media/image36.emf"/><Relationship Id="rId26" Type="http://schemas.openxmlformats.org/officeDocument/2006/relationships/ctrlProp" Target="../ctrlProps/ctrlProp72.xml"/><Relationship Id="rId3" Type="http://schemas.openxmlformats.org/officeDocument/2006/relationships/vmlDrawing" Target="../drawings/vmlDrawing7.vml"/><Relationship Id="rId21" Type="http://schemas.openxmlformats.org/officeDocument/2006/relationships/oleObject" Target="../embeddings/oleObject112.bin"/><Relationship Id="rId34" Type="http://schemas.openxmlformats.org/officeDocument/2006/relationships/comments" Target="../comments5.xml"/><Relationship Id="rId7" Type="http://schemas.openxmlformats.org/officeDocument/2006/relationships/image" Target="../media/image27.emf"/><Relationship Id="rId12" Type="http://schemas.openxmlformats.org/officeDocument/2006/relationships/oleObject" Target="../embeddings/oleObject106.bin"/><Relationship Id="rId17" Type="http://schemas.openxmlformats.org/officeDocument/2006/relationships/oleObject" Target="../embeddings/oleObject109.bin"/><Relationship Id="rId25" Type="http://schemas.openxmlformats.org/officeDocument/2006/relationships/ctrlProp" Target="../ctrlProps/ctrlProp71.xml"/><Relationship Id="rId33" Type="http://schemas.openxmlformats.org/officeDocument/2006/relationships/ctrlProp" Target="../ctrlProps/ctrlProp79.xml"/><Relationship Id="rId2" Type="http://schemas.openxmlformats.org/officeDocument/2006/relationships/drawing" Target="../drawings/drawing8.xml"/><Relationship Id="rId16" Type="http://schemas.openxmlformats.org/officeDocument/2006/relationships/image" Target="../media/image35.emf"/><Relationship Id="rId20" Type="http://schemas.openxmlformats.org/officeDocument/2006/relationships/oleObject" Target="../embeddings/oleObject111.bin"/><Relationship Id="rId29" Type="http://schemas.openxmlformats.org/officeDocument/2006/relationships/ctrlProp" Target="../ctrlProps/ctrlProp75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102.bin"/><Relationship Id="rId11" Type="http://schemas.openxmlformats.org/officeDocument/2006/relationships/image" Target="../media/image37.emf"/><Relationship Id="rId24" Type="http://schemas.openxmlformats.org/officeDocument/2006/relationships/ctrlProp" Target="../ctrlProps/ctrlProp70.xml"/><Relationship Id="rId32" Type="http://schemas.openxmlformats.org/officeDocument/2006/relationships/ctrlProp" Target="../ctrlProps/ctrlProp78.xml"/><Relationship Id="rId5" Type="http://schemas.openxmlformats.org/officeDocument/2006/relationships/image" Target="../media/image26.emf"/><Relationship Id="rId15" Type="http://schemas.openxmlformats.org/officeDocument/2006/relationships/oleObject" Target="../embeddings/oleObject108.bin"/><Relationship Id="rId23" Type="http://schemas.openxmlformats.org/officeDocument/2006/relationships/ctrlProp" Target="../ctrlProps/ctrlProp69.xml"/><Relationship Id="rId28" Type="http://schemas.openxmlformats.org/officeDocument/2006/relationships/ctrlProp" Target="../ctrlProps/ctrlProp74.xml"/><Relationship Id="rId10" Type="http://schemas.openxmlformats.org/officeDocument/2006/relationships/oleObject" Target="../embeddings/oleObject105.bin"/><Relationship Id="rId19" Type="http://schemas.openxmlformats.org/officeDocument/2006/relationships/oleObject" Target="../embeddings/oleObject110.bin"/><Relationship Id="rId31" Type="http://schemas.openxmlformats.org/officeDocument/2006/relationships/ctrlProp" Target="../ctrlProps/ctrlProp77.xml"/><Relationship Id="rId4" Type="http://schemas.openxmlformats.org/officeDocument/2006/relationships/oleObject" Target="../embeddings/oleObject101.bin"/><Relationship Id="rId9" Type="http://schemas.openxmlformats.org/officeDocument/2006/relationships/oleObject" Target="../embeddings/oleObject104.bin"/><Relationship Id="rId14" Type="http://schemas.openxmlformats.org/officeDocument/2006/relationships/image" Target="../media/image34.emf"/><Relationship Id="rId22" Type="http://schemas.openxmlformats.org/officeDocument/2006/relationships/ctrlProp" Target="../ctrlProps/ctrlProp68.xml"/><Relationship Id="rId27" Type="http://schemas.openxmlformats.org/officeDocument/2006/relationships/ctrlProp" Target="../ctrlProps/ctrlProp73.xml"/><Relationship Id="rId30" Type="http://schemas.openxmlformats.org/officeDocument/2006/relationships/ctrlProp" Target="../ctrlProps/ctrlProp76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15.bin"/><Relationship Id="rId13" Type="http://schemas.openxmlformats.org/officeDocument/2006/relationships/oleObject" Target="../embeddings/oleObject118.bin"/><Relationship Id="rId18" Type="http://schemas.openxmlformats.org/officeDocument/2006/relationships/oleObject" Target="../embeddings/oleObject121.bin"/><Relationship Id="rId26" Type="http://schemas.openxmlformats.org/officeDocument/2006/relationships/ctrlProp" Target="../ctrlProps/ctrlProp83.xml"/><Relationship Id="rId3" Type="http://schemas.openxmlformats.org/officeDocument/2006/relationships/vmlDrawing" Target="../drawings/vmlDrawing8.vml"/><Relationship Id="rId21" Type="http://schemas.openxmlformats.org/officeDocument/2006/relationships/image" Target="../media/image41.emf"/><Relationship Id="rId34" Type="http://schemas.openxmlformats.org/officeDocument/2006/relationships/ctrlProp" Target="../ctrlProps/ctrlProp91.xml"/><Relationship Id="rId7" Type="http://schemas.openxmlformats.org/officeDocument/2006/relationships/image" Target="../media/image27.emf"/><Relationship Id="rId12" Type="http://schemas.openxmlformats.org/officeDocument/2006/relationships/image" Target="../media/image34.emf"/><Relationship Id="rId17" Type="http://schemas.openxmlformats.org/officeDocument/2006/relationships/oleObject" Target="../embeddings/oleObject120.bin"/><Relationship Id="rId25" Type="http://schemas.openxmlformats.org/officeDocument/2006/relationships/ctrlProp" Target="../ctrlProps/ctrlProp82.xml"/><Relationship Id="rId33" Type="http://schemas.openxmlformats.org/officeDocument/2006/relationships/ctrlProp" Target="../ctrlProps/ctrlProp90.xml"/><Relationship Id="rId2" Type="http://schemas.openxmlformats.org/officeDocument/2006/relationships/drawing" Target="../drawings/drawing9.xml"/><Relationship Id="rId16" Type="http://schemas.openxmlformats.org/officeDocument/2006/relationships/image" Target="../media/image36.emf"/><Relationship Id="rId20" Type="http://schemas.openxmlformats.org/officeDocument/2006/relationships/oleObject" Target="../embeddings/oleObject123.bin"/><Relationship Id="rId29" Type="http://schemas.openxmlformats.org/officeDocument/2006/relationships/ctrlProp" Target="../ctrlProps/ctrlProp86.xml"/><Relationship Id="rId1" Type="http://schemas.openxmlformats.org/officeDocument/2006/relationships/printerSettings" Target="../printerSettings/printerSettings11.bin"/><Relationship Id="rId6" Type="http://schemas.openxmlformats.org/officeDocument/2006/relationships/oleObject" Target="../embeddings/oleObject114.bin"/><Relationship Id="rId11" Type="http://schemas.openxmlformats.org/officeDocument/2006/relationships/oleObject" Target="../embeddings/oleObject117.bin"/><Relationship Id="rId24" Type="http://schemas.openxmlformats.org/officeDocument/2006/relationships/ctrlProp" Target="../ctrlProps/ctrlProp81.xml"/><Relationship Id="rId32" Type="http://schemas.openxmlformats.org/officeDocument/2006/relationships/ctrlProp" Target="../ctrlProps/ctrlProp89.xml"/><Relationship Id="rId5" Type="http://schemas.openxmlformats.org/officeDocument/2006/relationships/image" Target="../media/image26.emf"/><Relationship Id="rId15" Type="http://schemas.openxmlformats.org/officeDocument/2006/relationships/oleObject" Target="../embeddings/oleObject119.bin"/><Relationship Id="rId23" Type="http://schemas.openxmlformats.org/officeDocument/2006/relationships/ctrlProp" Target="../ctrlProps/ctrlProp80.xml"/><Relationship Id="rId28" Type="http://schemas.openxmlformats.org/officeDocument/2006/relationships/ctrlProp" Target="../ctrlProps/ctrlProp85.xml"/><Relationship Id="rId10" Type="http://schemas.openxmlformats.org/officeDocument/2006/relationships/oleObject" Target="../embeddings/oleObject116.bin"/><Relationship Id="rId19" Type="http://schemas.openxmlformats.org/officeDocument/2006/relationships/oleObject" Target="../embeddings/oleObject122.bin"/><Relationship Id="rId31" Type="http://schemas.openxmlformats.org/officeDocument/2006/relationships/ctrlProp" Target="../ctrlProps/ctrlProp88.xml"/><Relationship Id="rId4" Type="http://schemas.openxmlformats.org/officeDocument/2006/relationships/oleObject" Target="../embeddings/oleObject113.bin"/><Relationship Id="rId9" Type="http://schemas.openxmlformats.org/officeDocument/2006/relationships/image" Target="../media/image37.emf"/><Relationship Id="rId14" Type="http://schemas.openxmlformats.org/officeDocument/2006/relationships/image" Target="../media/image35.emf"/><Relationship Id="rId22" Type="http://schemas.openxmlformats.org/officeDocument/2006/relationships/oleObject" Target="../embeddings/oleObject124.bin"/><Relationship Id="rId27" Type="http://schemas.openxmlformats.org/officeDocument/2006/relationships/ctrlProp" Target="../ctrlProps/ctrlProp84.xml"/><Relationship Id="rId30" Type="http://schemas.openxmlformats.org/officeDocument/2006/relationships/ctrlProp" Target="../ctrlProps/ctrlProp87.xml"/><Relationship Id="rId35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7.bin"/><Relationship Id="rId13" Type="http://schemas.openxmlformats.org/officeDocument/2006/relationships/image" Target="../media/image46.emf"/><Relationship Id="rId18" Type="http://schemas.openxmlformats.org/officeDocument/2006/relationships/oleObject" Target="../embeddings/oleObject132.bin"/><Relationship Id="rId26" Type="http://schemas.openxmlformats.org/officeDocument/2006/relationships/ctrlProp" Target="../ctrlProps/ctrlProp94.xml"/><Relationship Id="rId3" Type="http://schemas.openxmlformats.org/officeDocument/2006/relationships/vmlDrawing" Target="../drawings/vmlDrawing9.vml"/><Relationship Id="rId21" Type="http://schemas.openxmlformats.org/officeDocument/2006/relationships/image" Target="../media/image50.emf"/><Relationship Id="rId7" Type="http://schemas.openxmlformats.org/officeDocument/2006/relationships/image" Target="../media/image43.emf"/><Relationship Id="rId12" Type="http://schemas.openxmlformats.org/officeDocument/2006/relationships/oleObject" Target="../embeddings/oleObject129.bin"/><Relationship Id="rId17" Type="http://schemas.openxmlformats.org/officeDocument/2006/relationships/image" Target="../media/image48.emf"/><Relationship Id="rId25" Type="http://schemas.openxmlformats.org/officeDocument/2006/relationships/ctrlProp" Target="../ctrlProps/ctrlProp93.xml"/><Relationship Id="rId33" Type="http://schemas.openxmlformats.org/officeDocument/2006/relationships/ctrlProp" Target="../ctrlProps/ctrlProp101.xml"/><Relationship Id="rId2" Type="http://schemas.openxmlformats.org/officeDocument/2006/relationships/drawing" Target="../drawings/drawing10.xml"/><Relationship Id="rId16" Type="http://schemas.openxmlformats.org/officeDocument/2006/relationships/oleObject" Target="../embeddings/oleObject131.bin"/><Relationship Id="rId20" Type="http://schemas.openxmlformats.org/officeDocument/2006/relationships/oleObject" Target="../embeddings/oleObject133.bin"/><Relationship Id="rId29" Type="http://schemas.openxmlformats.org/officeDocument/2006/relationships/ctrlProp" Target="../ctrlProps/ctrlProp97.xml"/><Relationship Id="rId1" Type="http://schemas.openxmlformats.org/officeDocument/2006/relationships/printerSettings" Target="../printerSettings/printerSettings12.bin"/><Relationship Id="rId6" Type="http://schemas.openxmlformats.org/officeDocument/2006/relationships/oleObject" Target="../embeddings/oleObject126.bin"/><Relationship Id="rId11" Type="http://schemas.openxmlformats.org/officeDocument/2006/relationships/image" Target="../media/image45.emf"/><Relationship Id="rId24" Type="http://schemas.openxmlformats.org/officeDocument/2006/relationships/ctrlProp" Target="../ctrlProps/ctrlProp92.xml"/><Relationship Id="rId32" Type="http://schemas.openxmlformats.org/officeDocument/2006/relationships/ctrlProp" Target="../ctrlProps/ctrlProp100.xml"/><Relationship Id="rId5" Type="http://schemas.openxmlformats.org/officeDocument/2006/relationships/image" Target="../media/image42.emf"/><Relationship Id="rId15" Type="http://schemas.openxmlformats.org/officeDocument/2006/relationships/image" Target="../media/image47.emf"/><Relationship Id="rId23" Type="http://schemas.openxmlformats.org/officeDocument/2006/relationships/image" Target="../media/image51.emf"/><Relationship Id="rId28" Type="http://schemas.openxmlformats.org/officeDocument/2006/relationships/ctrlProp" Target="../ctrlProps/ctrlProp96.xml"/><Relationship Id="rId10" Type="http://schemas.openxmlformats.org/officeDocument/2006/relationships/oleObject" Target="../embeddings/oleObject128.bin"/><Relationship Id="rId19" Type="http://schemas.openxmlformats.org/officeDocument/2006/relationships/image" Target="../media/image49.emf"/><Relationship Id="rId31" Type="http://schemas.openxmlformats.org/officeDocument/2006/relationships/ctrlProp" Target="../ctrlProps/ctrlProp99.xml"/><Relationship Id="rId4" Type="http://schemas.openxmlformats.org/officeDocument/2006/relationships/oleObject" Target="../embeddings/oleObject125.bin"/><Relationship Id="rId9" Type="http://schemas.openxmlformats.org/officeDocument/2006/relationships/image" Target="../media/image44.emf"/><Relationship Id="rId14" Type="http://schemas.openxmlformats.org/officeDocument/2006/relationships/oleObject" Target="../embeddings/oleObject130.bin"/><Relationship Id="rId22" Type="http://schemas.openxmlformats.org/officeDocument/2006/relationships/oleObject" Target="../embeddings/oleObject134.bin"/><Relationship Id="rId27" Type="http://schemas.openxmlformats.org/officeDocument/2006/relationships/ctrlProp" Target="../ctrlProps/ctrlProp95.xml"/><Relationship Id="rId30" Type="http://schemas.openxmlformats.org/officeDocument/2006/relationships/ctrlProp" Target="../ctrlProps/ctrlProp9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9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2.vml"/><Relationship Id="rId7" Type="http://schemas.openxmlformats.org/officeDocument/2006/relationships/image" Target="../media/image3.emf"/><Relationship Id="rId12" Type="http://schemas.openxmlformats.org/officeDocument/2006/relationships/oleObject" Target="../embeddings/oleObject11.bin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2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8.bin"/><Relationship Id="rId11" Type="http://schemas.openxmlformats.org/officeDocument/2006/relationships/image" Target="../media/image2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10.bin"/><Relationship Id="rId4" Type="http://schemas.openxmlformats.org/officeDocument/2006/relationships/oleObject" Target="../embeddings/oleObject7.bin"/><Relationship Id="rId9" Type="http://schemas.openxmlformats.org/officeDocument/2006/relationships/image" Target="../media/image4.emf"/><Relationship Id="rId14" Type="http://schemas.openxmlformats.org/officeDocument/2006/relationships/oleObject" Target="../embeddings/oleObject12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5.bin"/><Relationship Id="rId13" Type="http://schemas.openxmlformats.org/officeDocument/2006/relationships/image" Target="../media/image3.e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5.emf"/><Relationship Id="rId12" Type="http://schemas.openxmlformats.org/officeDocument/2006/relationships/oleObject" Target="../embeddings/oleObject17.bin"/><Relationship Id="rId17" Type="http://schemas.openxmlformats.org/officeDocument/2006/relationships/comments" Target="../comments1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14.bin"/><Relationship Id="rId11" Type="http://schemas.openxmlformats.org/officeDocument/2006/relationships/image" Target="../media/image1.emf"/><Relationship Id="rId5" Type="http://schemas.openxmlformats.org/officeDocument/2006/relationships/image" Target="../media/image2.emf"/><Relationship Id="rId15" Type="http://schemas.openxmlformats.org/officeDocument/2006/relationships/image" Target="../media/image4.emf"/><Relationship Id="rId10" Type="http://schemas.openxmlformats.org/officeDocument/2006/relationships/oleObject" Target="../embeddings/oleObject16.bin"/><Relationship Id="rId4" Type="http://schemas.openxmlformats.org/officeDocument/2006/relationships/oleObject" Target="../embeddings/oleObject13.bin"/><Relationship Id="rId9" Type="http://schemas.openxmlformats.org/officeDocument/2006/relationships/image" Target="../media/image6.emf"/><Relationship Id="rId14" Type="http://schemas.openxmlformats.org/officeDocument/2006/relationships/oleObject" Target="../embeddings/oleObject18.bin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emf"/><Relationship Id="rId18" Type="http://schemas.openxmlformats.org/officeDocument/2006/relationships/oleObject" Target="../embeddings/oleObject27.bin"/><Relationship Id="rId26" Type="http://schemas.openxmlformats.org/officeDocument/2006/relationships/image" Target="../media/image15.emf"/><Relationship Id="rId39" Type="http://schemas.openxmlformats.org/officeDocument/2006/relationships/image" Target="../media/image21.emf"/><Relationship Id="rId21" Type="http://schemas.openxmlformats.org/officeDocument/2006/relationships/oleObject" Target="../embeddings/oleObject30.bin"/><Relationship Id="rId34" Type="http://schemas.openxmlformats.org/officeDocument/2006/relationships/image" Target="../media/image19.emf"/><Relationship Id="rId42" Type="http://schemas.openxmlformats.org/officeDocument/2006/relationships/image" Target="../media/image22.emf"/><Relationship Id="rId47" Type="http://schemas.openxmlformats.org/officeDocument/2006/relationships/oleObject" Target="../embeddings/oleObject46.bin"/><Relationship Id="rId50" Type="http://schemas.openxmlformats.org/officeDocument/2006/relationships/ctrlProp" Target="../ctrlProps/ctrlProp5.xml"/><Relationship Id="rId55" Type="http://schemas.openxmlformats.org/officeDocument/2006/relationships/ctrlProp" Target="../ctrlProps/ctrlProp10.xml"/><Relationship Id="rId63" Type="http://schemas.openxmlformats.org/officeDocument/2006/relationships/ctrlProp" Target="../ctrlProps/ctrlProp18.xml"/><Relationship Id="rId68" Type="http://schemas.openxmlformats.org/officeDocument/2006/relationships/ctrlProp" Target="../ctrlProps/ctrlProp23.xml"/><Relationship Id="rId7" Type="http://schemas.openxmlformats.org/officeDocument/2006/relationships/image" Target="../media/image8.emf"/><Relationship Id="rId2" Type="http://schemas.openxmlformats.org/officeDocument/2006/relationships/drawing" Target="../drawings/drawing5.xml"/><Relationship Id="rId16" Type="http://schemas.openxmlformats.org/officeDocument/2006/relationships/oleObject" Target="../embeddings/oleObject25.bin"/><Relationship Id="rId29" Type="http://schemas.openxmlformats.org/officeDocument/2006/relationships/oleObject" Target="../embeddings/oleObject34.bin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20.bin"/><Relationship Id="rId11" Type="http://schemas.openxmlformats.org/officeDocument/2006/relationships/image" Target="../media/image10.emf"/><Relationship Id="rId24" Type="http://schemas.openxmlformats.org/officeDocument/2006/relationships/image" Target="../media/image14.emf"/><Relationship Id="rId32" Type="http://schemas.openxmlformats.org/officeDocument/2006/relationships/image" Target="../media/image18.emf"/><Relationship Id="rId37" Type="http://schemas.openxmlformats.org/officeDocument/2006/relationships/image" Target="../media/image20.emf"/><Relationship Id="rId40" Type="http://schemas.openxmlformats.org/officeDocument/2006/relationships/oleObject" Target="../embeddings/oleObject40.bin"/><Relationship Id="rId45" Type="http://schemas.openxmlformats.org/officeDocument/2006/relationships/oleObject" Target="../embeddings/oleObject44.bin"/><Relationship Id="rId53" Type="http://schemas.openxmlformats.org/officeDocument/2006/relationships/ctrlProp" Target="../ctrlProps/ctrlProp8.xml"/><Relationship Id="rId58" Type="http://schemas.openxmlformats.org/officeDocument/2006/relationships/ctrlProp" Target="../ctrlProps/ctrlProp13.xml"/><Relationship Id="rId66" Type="http://schemas.openxmlformats.org/officeDocument/2006/relationships/ctrlProp" Target="../ctrlProps/ctrlProp21.xml"/><Relationship Id="rId5" Type="http://schemas.openxmlformats.org/officeDocument/2006/relationships/image" Target="../media/image7.emf"/><Relationship Id="rId15" Type="http://schemas.openxmlformats.org/officeDocument/2006/relationships/image" Target="../media/image12.emf"/><Relationship Id="rId23" Type="http://schemas.openxmlformats.org/officeDocument/2006/relationships/oleObject" Target="../embeddings/oleObject31.bin"/><Relationship Id="rId28" Type="http://schemas.openxmlformats.org/officeDocument/2006/relationships/image" Target="../media/image16.emf"/><Relationship Id="rId36" Type="http://schemas.openxmlformats.org/officeDocument/2006/relationships/oleObject" Target="../embeddings/oleObject38.bin"/><Relationship Id="rId49" Type="http://schemas.openxmlformats.org/officeDocument/2006/relationships/ctrlProp" Target="../ctrlProps/ctrlProp4.xml"/><Relationship Id="rId57" Type="http://schemas.openxmlformats.org/officeDocument/2006/relationships/ctrlProp" Target="../ctrlProps/ctrlProp12.xml"/><Relationship Id="rId61" Type="http://schemas.openxmlformats.org/officeDocument/2006/relationships/ctrlProp" Target="../ctrlProps/ctrlProp16.xml"/><Relationship Id="rId10" Type="http://schemas.openxmlformats.org/officeDocument/2006/relationships/oleObject" Target="../embeddings/oleObject22.bin"/><Relationship Id="rId19" Type="http://schemas.openxmlformats.org/officeDocument/2006/relationships/oleObject" Target="../embeddings/oleObject28.bin"/><Relationship Id="rId31" Type="http://schemas.openxmlformats.org/officeDocument/2006/relationships/oleObject" Target="../embeddings/oleObject35.bin"/><Relationship Id="rId44" Type="http://schemas.openxmlformats.org/officeDocument/2006/relationships/oleObject" Target="../embeddings/oleObject43.bin"/><Relationship Id="rId52" Type="http://schemas.openxmlformats.org/officeDocument/2006/relationships/ctrlProp" Target="../ctrlProps/ctrlProp7.xml"/><Relationship Id="rId60" Type="http://schemas.openxmlformats.org/officeDocument/2006/relationships/ctrlProp" Target="../ctrlProps/ctrlProp15.xml"/><Relationship Id="rId65" Type="http://schemas.openxmlformats.org/officeDocument/2006/relationships/ctrlProp" Target="../ctrlProps/ctrlProp20.xml"/><Relationship Id="rId4" Type="http://schemas.openxmlformats.org/officeDocument/2006/relationships/oleObject" Target="../embeddings/oleObject19.bin"/><Relationship Id="rId9" Type="http://schemas.openxmlformats.org/officeDocument/2006/relationships/image" Target="../media/image9.emf"/><Relationship Id="rId14" Type="http://schemas.openxmlformats.org/officeDocument/2006/relationships/oleObject" Target="../embeddings/oleObject24.bin"/><Relationship Id="rId22" Type="http://schemas.openxmlformats.org/officeDocument/2006/relationships/image" Target="../media/image13.emf"/><Relationship Id="rId27" Type="http://schemas.openxmlformats.org/officeDocument/2006/relationships/oleObject" Target="../embeddings/oleObject33.bin"/><Relationship Id="rId30" Type="http://schemas.openxmlformats.org/officeDocument/2006/relationships/image" Target="../media/image17.emf"/><Relationship Id="rId35" Type="http://schemas.openxmlformats.org/officeDocument/2006/relationships/oleObject" Target="../embeddings/oleObject37.bin"/><Relationship Id="rId43" Type="http://schemas.openxmlformats.org/officeDocument/2006/relationships/oleObject" Target="../embeddings/oleObject42.bin"/><Relationship Id="rId48" Type="http://schemas.openxmlformats.org/officeDocument/2006/relationships/image" Target="../media/image23.emf"/><Relationship Id="rId56" Type="http://schemas.openxmlformats.org/officeDocument/2006/relationships/ctrlProp" Target="../ctrlProps/ctrlProp11.xml"/><Relationship Id="rId64" Type="http://schemas.openxmlformats.org/officeDocument/2006/relationships/ctrlProp" Target="../ctrlProps/ctrlProp19.xml"/><Relationship Id="rId69" Type="http://schemas.openxmlformats.org/officeDocument/2006/relationships/ctrlProp" Target="../ctrlProps/ctrlProp24.xml"/><Relationship Id="rId8" Type="http://schemas.openxmlformats.org/officeDocument/2006/relationships/oleObject" Target="../embeddings/oleObject21.bin"/><Relationship Id="rId51" Type="http://schemas.openxmlformats.org/officeDocument/2006/relationships/ctrlProp" Target="../ctrlProps/ctrlProp6.xml"/><Relationship Id="rId3" Type="http://schemas.openxmlformats.org/officeDocument/2006/relationships/vmlDrawing" Target="../drawings/vmlDrawing4.vml"/><Relationship Id="rId12" Type="http://schemas.openxmlformats.org/officeDocument/2006/relationships/oleObject" Target="../embeddings/oleObject23.bin"/><Relationship Id="rId17" Type="http://schemas.openxmlformats.org/officeDocument/2006/relationships/oleObject" Target="../embeddings/oleObject26.bin"/><Relationship Id="rId25" Type="http://schemas.openxmlformats.org/officeDocument/2006/relationships/oleObject" Target="../embeddings/oleObject32.bin"/><Relationship Id="rId33" Type="http://schemas.openxmlformats.org/officeDocument/2006/relationships/oleObject" Target="../embeddings/oleObject36.bin"/><Relationship Id="rId38" Type="http://schemas.openxmlformats.org/officeDocument/2006/relationships/oleObject" Target="../embeddings/oleObject39.bin"/><Relationship Id="rId46" Type="http://schemas.openxmlformats.org/officeDocument/2006/relationships/oleObject" Target="../embeddings/oleObject45.bin"/><Relationship Id="rId59" Type="http://schemas.openxmlformats.org/officeDocument/2006/relationships/ctrlProp" Target="../ctrlProps/ctrlProp14.xml"/><Relationship Id="rId67" Type="http://schemas.openxmlformats.org/officeDocument/2006/relationships/ctrlProp" Target="../ctrlProps/ctrlProp22.xml"/><Relationship Id="rId20" Type="http://schemas.openxmlformats.org/officeDocument/2006/relationships/oleObject" Target="../embeddings/oleObject29.bin"/><Relationship Id="rId41" Type="http://schemas.openxmlformats.org/officeDocument/2006/relationships/oleObject" Target="../embeddings/oleObject41.bin"/><Relationship Id="rId54" Type="http://schemas.openxmlformats.org/officeDocument/2006/relationships/ctrlProp" Target="../ctrlProps/ctrlProp9.xml"/><Relationship Id="rId62" Type="http://schemas.openxmlformats.org/officeDocument/2006/relationships/ctrlProp" Target="../ctrlProps/ctrlProp17.xml"/><Relationship Id="rId70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9.bin"/><Relationship Id="rId13" Type="http://schemas.openxmlformats.org/officeDocument/2006/relationships/oleObject" Target="../embeddings/oleObject52.bin"/><Relationship Id="rId18" Type="http://schemas.openxmlformats.org/officeDocument/2006/relationships/oleObject" Target="../embeddings/oleObject57.bin"/><Relationship Id="rId26" Type="http://schemas.openxmlformats.org/officeDocument/2006/relationships/image" Target="../media/image15.emf"/><Relationship Id="rId39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21" Type="http://schemas.openxmlformats.org/officeDocument/2006/relationships/oleObject" Target="../embeddings/oleObject59.bin"/><Relationship Id="rId34" Type="http://schemas.openxmlformats.org/officeDocument/2006/relationships/ctrlProp" Target="../ctrlProps/ctrlProp29.xml"/><Relationship Id="rId7" Type="http://schemas.openxmlformats.org/officeDocument/2006/relationships/image" Target="../media/image9.emf"/><Relationship Id="rId12" Type="http://schemas.openxmlformats.org/officeDocument/2006/relationships/oleObject" Target="../embeddings/oleObject51.bin"/><Relationship Id="rId17" Type="http://schemas.openxmlformats.org/officeDocument/2006/relationships/oleObject" Target="../embeddings/oleObject56.bin"/><Relationship Id="rId25" Type="http://schemas.openxmlformats.org/officeDocument/2006/relationships/oleObject" Target="../embeddings/oleObject61.bin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6" Type="http://schemas.openxmlformats.org/officeDocument/2006/relationships/oleObject" Target="../embeddings/oleObject55.bin"/><Relationship Id="rId20" Type="http://schemas.openxmlformats.org/officeDocument/2006/relationships/oleObject" Target="../embeddings/oleObject58.bin"/><Relationship Id="rId29" Type="http://schemas.openxmlformats.org/officeDocument/2006/relationships/oleObject" Target="../embeddings/oleObject64.bin"/><Relationship Id="rId41" Type="http://schemas.openxmlformats.org/officeDocument/2006/relationships/comments" Target="../comments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48.bin"/><Relationship Id="rId11" Type="http://schemas.openxmlformats.org/officeDocument/2006/relationships/image" Target="../media/image11.emf"/><Relationship Id="rId24" Type="http://schemas.openxmlformats.org/officeDocument/2006/relationships/image" Target="../media/image14.emf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40" Type="http://schemas.openxmlformats.org/officeDocument/2006/relationships/ctrlProp" Target="../ctrlProps/ctrlProp35.xml"/><Relationship Id="rId5" Type="http://schemas.openxmlformats.org/officeDocument/2006/relationships/image" Target="../media/image7.emf"/><Relationship Id="rId15" Type="http://schemas.openxmlformats.org/officeDocument/2006/relationships/oleObject" Target="../embeddings/oleObject54.bin"/><Relationship Id="rId23" Type="http://schemas.openxmlformats.org/officeDocument/2006/relationships/oleObject" Target="../embeddings/oleObject60.bin"/><Relationship Id="rId28" Type="http://schemas.openxmlformats.org/officeDocument/2006/relationships/oleObject" Target="../embeddings/oleObject63.bin"/><Relationship Id="rId36" Type="http://schemas.openxmlformats.org/officeDocument/2006/relationships/ctrlProp" Target="../ctrlProps/ctrlProp31.xml"/><Relationship Id="rId10" Type="http://schemas.openxmlformats.org/officeDocument/2006/relationships/oleObject" Target="../embeddings/oleObject50.bin"/><Relationship Id="rId19" Type="http://schemas.openxmlformats.org/officeDocument/2006/relationships/image" Target="../media/image21.emf"/><Relationship Id="rId31" Type="http://schemas.openxmlformats.org/officeDocument/2006/relationships/ctrlProp" Target="../ctrlProps/ctrlProp26.xml"/><Relationship Id="rId4" Type="http://schemas.openxmlformats.org/officeDocument/2006/relationships/oleObject" Target="../embeddings/oleObject47.bin"/><Relationship Id="rId9" Type="http://schemas.openxmlformats.org/officeDocument/2006/relationships/image" Target="../media/image10.emf"/><Relationship Id="rId14" Type="http://schemas.openxmlformats.org/officeDocument/2006/relationships/oleObject" Target="../embeddings/oleObject53.bin"/><Relationship Id="rId22" Type="http://schemas.openxmlformats.org/officeDocument/2006/relationships/image" Target="../media/image13.emf"/><Relationship Id="rId27" Type="http://schemas.openxmlformats.org/officeDocument/2006/relationships/oleObject" Target="../embeddings/oleObject62.bin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8.emf"/><Relationship Id="rId18" Type="http://schemas.openxmlformats.org/officeDocument/2006/relationships/oleObject" Target="../embeddings/oleObject72.bin"/><Relationship Id="rId26" Type="http://schemas.openxmlformats.org/officeDocument/2006/relationships/oleObject" Target="../embeddings/oleObject77.bin"/><Relationship Id="rId39" Type="http://schemas.openxmlformats.org/officeDocument/2006/relationships/oleObject" Target="../embeddings/oleObject86.bin"/><Relationship Id="rId21" Type="http://schemas.openxmlformats.org/officeDocument/2006/relationships/image" Target="../media/image32.emf"/><Relationship Id="rId34" Type="http://schemas.openxmlformats.org/officeDocument/2006/relationships/oleObject" Target="../embeddings/oleObject83.bin"/><Relationship Id="rId42" Type="http://schemas.openxmlformats.org/officeDocument/2006/relationships/oleObject" Target="../embeddings/oleObject88.bin"/><Relationship Id="rId47" Type="http://schemas.openxmlformats.org/officeDocument/2006/relationships/oleObject" Target="../embeddings/oleObject93.bin"/><Relationship Id="rId50" Type="http://schemas.openxmlformats.org/officeDocument/2006/relationships/oleObject" Target="../embeddings/oleObject96.bin"/><Relationship Id="rId55" Type="http://schemas.openxmlformats.org/officeDocument/2006/relationships/ctrlProp" Target="../ctrlProps/ctrlProp36.xml"/><Relationship Id="rId63" Type="http://schemas.openxmlformats.org/officeDocument/2006/relationships/ctrlProp" Target="../ctrlProps/ctrlProp44.xml"/><Relationship Id="rId68" Type="http://schemas.openxmlformats.org/officeDocument/2006/relationships/ctrlProp" Target="../ctrlProps/ctrlProp49.xml"/><Relationship Id="rId76" Type="http://schemas.openxmlformats.org/officeDocument/2006/relationships/ctrlProp" Target="../ctrlProps/ctrlProp57.xml"/><Relationship Id="rId84" Type="http://schemas.openxmlformats.org/officeDocument/2006/relationships/ctrlProp" Target="../ctrlProps/ctrlProp65.xml"/><Relationship Id="rId7" Type="http://schemas.openxmlformats.org/officeDocument/2006/relationships/image" Target="../media/image25.emf"/><Relationship Id="rId71" Type="http://schemas.openxmlformats.org/officeDocument/2006/relationships/ctrlProp" Target="../ctrlProps/ctrlProp52.xml"/><Relationship Id="rId2" Type="http://schemas.openxmlformats.org/officeDocument/2006/relationships/drawing" Target="../drawings/drawing7.xml"/><Relationship Id="rId16" Type="http://schemas.openxmlformats.org/officeDocument/2006/relationships/oleObject" Target="../embeddings/oleObject71.bin"/><Relationship Id="rId29" Type="http://schemas.openxmlformats.org/officeDocument/2006/relationships/oleObject" Target="../embeddings/oleObject80.bin"/><Relationship Id="rId11" Type="http://schemas.openxmlformats.org/officeDocument/2006/relationships/image" Target="../media/image27.emf"/><Relationship Id="rId24" Type="http://schemas.openxmlformats.org/officeDocument/2006/relationships/oleObject" Target="../embeddings/oleObject75.bin"/><Relationship Id="rId32" Type="http://schemas.openxmlformats.org/officeDocument/2006/relationships/oleObject" Target="../embeddings/oleObject82.bin"/><Relationship Id="rId37" Type="http://schemas.openxmlformats.org/officeDocument/2006/relationships/oleObject" Target="../embeddings/oleObject85.bin"/><Relationship Id="rId40" Type="http://schemas.openxmlformats.org/officeDocument/2006/relationships/oleObject" Target="../embeddings/oleObject87.bin"/><Relationship Id="rId45" Type="http://schemas.openxmlformats.org/officeDocument/2006/relationships/oleObject" Target="../embeddings/oleObject91.bin"/><Relationship Id="rId53" Type="http://schemas.openxmlformats.org/officeDocument/2006/relationships/oleObject" Target="../embeddings/oleObject99.bin"/><Relationship Id="rId58" Type="http://schemas.openxmlformats.org/officeDocument/2006/relationships/ctrlProp" Target="../ctrlProps/ctrlProp39.xml"/><Relationship Id="rId66" Type="http://schemas.openxmlformats.org/officeDocument/2006/relationships/ctrlProp" Target="../ctrlProps/ctrlProp47.xml"/><Relationship Id="rId74" Type="http://schemas.openxmlformats.org/officeDocument/2006/relationships/ctrlProp" Target="../ctrlProps/ctrlProp55.xml"/><Relationship Id="rId79" Type="http://schemas.openxmlformats.org/officeDocument/2006/relationships/ctrlProp" Target="../ctrlProps/ctrlProp60.xml"/><Relationship Id="rId87" Type="http://schemas.openxmlformats.org/officeDocument/2006/relationships/comments" Target="../comments4.xml"/><Relationship Id="rId5" Type="http://schemas.openxmlformats.org/officeDocument/2006/relationships/image" Target="../media/image24.emf"/><Relationship Id="rId61" Type="http://schemas.openxmlformats.org/officeDocument/2006/relationships/ctrlProp" Target="../ctrlProps/ctrlProp42.xml"/><Relationship Id="rId82" Type="http://schemas.openxmlformats.org/officeDocument/2006/relationships/ctrlProp" Target="../ctrlProps/ctrlProp63.xml"/><Relationship Id="rId19" Type="http://schemas.openxmlformats.org/officeDocument/2006/relationships/image" Target="../media/image31.emf"/><Relationship Id="rId4" Type="http://schemas.openxmlformats.org/officeDocument/2006/relationships/oleObject" Target="../embeddings/oleObject65.bin"/><Relationship Id="rId9" Type="http://schemas.openxmlformats.org/officeDocument/2006/relationships/image" Target="../media/image26.emf"/><Relationship Id="rId14" Type="http://schemas.openxmlformats.org/officeDocument/2006/relationships/oleObject" Target="../embeddings/oleObject70.bin"/><Relationship Id="rId22" Type="http://schemas.openxmlformats.org/officeDocument/2006/relationships/oleObject" Target="../embeddings/oleObject74.bin"/><Relationship Id="rId27" Type="http://schemas.openxmlformats.org/officeDocument/2006/relationships/oleObject" Target="../embeddings/oleObject78.bin"/><Relationship Id="rId30" Type="http://schemas.openxmlformats.org/officeDocument/2006/relationships/oleObject" Target="../embeddings/oleObject81.bin"/><Relationship Id="rId35" Type="http://schemas.openxmlformats.org/officeDocument/2006/relationships/image" Target="../media/image36.emf"/><Relationship Id="rId43" Type="http://schemas.openxmlformats.org/officeDocument/2006/relationships/oleObject" Target="../embeddings/oleObject89.bin"/><Relationship Id="rId48" Type="http://schemas.openxmlformats.org/officeDocument/2006/relationships/oleObject" Target="../embeddings/oleObject94.bin"/><Relationship Id="rId56" Type="http://schemas.openxmlformats.org/officeDocument/2006/relationships/ctrlProp" Target="../ctrlProps/ctrlProp37.xml"/><Relationship Id="rId64" Type="http://schemas.openxmlformats.org/officeDocument/2006/relationships/ctrlProp" Target="../ctrlProps/ctrlProp45.xml"/><Relationship Id="rId69" Type="http://schemas.openxmlformats.org/officeDocument/2006/relationships/ctrlProp" Target="../ctrlProps/ctrlProp50.xml"/><Relationship Id="rId77" Type="http://schemas.openxmlformats.org/officeDocument/2006/relationships/ctrlProp" Target="../ctrlProps/ctrlProp58.xml"/><Relationship Id="rId8" Type="http://schemas.openxmlformats.org/officeDocument/2006/relationships/oleObject" Target="../embeddings/oleObject67.bin"/><Relationship Id="rId51" Type="http://schemas.openxmlformats.org/officeDocument/2006/relationships/oleObject" Target="../embeddings/oleObject97.bin"/><Relationship Id="rId72" Type="http://schemas.openxmlformats.org/officeDocument/2006/relationships/ctrlProp" Target="../ctrlProps/ctrlProp53.xml"/><Relationship Id="rId80" Type="http://schemas.openxmlformats.org/officeDocument/2006/relationships/ctrlProp" Target="../ctrlProps/ctrlProp61.xml"/><Relationship Id="rId85" Type="http://schemas.openxmlformats.org/officeDocument/2006/relationships/ctrlProp" Target="../ctrlProps/ctrlProp66.xml"/><Relationship Id="rId3" Type="http://schemas.openxmlformats.org/officeDocument/2006/relationships/vmlDrawing" Target="../drawings/vmlDrawing6.vml"/><Relationship Id="rId12" Type="http://schemas.openxmlformats.org/officeDocument/2006/relationships/oleObject" Target="../embeddings/oleObject69.bin"/><Relationship Id="rId17" Type="http://schemas.openxmlformats.org/officeDocument/2006/relationships/image" Target="../media/image30.emf"/><Relationship Id="rId25" Type="http://schemas.openxmlformats.org/officeDocument/2006/relationships/oleObject" Target="../embeddings/oleObject76.bin"/><Relationship Id="rId33" Type="http://schemas.openxmlformats.org/officeDocument/2006/relationships/image" Target="../media/image35.emf"/><Relationship Id="rId38" Type="http://schemas.openxmlformats.org/officeDocument/2006/relationships/image" Target="../media/image37.emf"/><Relationship Id="rId46" Type="http://schemas.openxmlformats.org/officeDocument/2006/relationships/oleObject" Target="../embeddings/oleObject92.bin"/><Relationship Id="rId59" Type="http://schemas.openxmlformats.org/officeDocument/2006/relationships/ctrlProp" Target="../ctrlProps/ctrlProp40.xml"/><Relationship Id="rId67" Type="http://schemas.openxmlformats.org/officeDocument/2006/relationships/ctrlProp" Target="../ctrlProps/ctrlProp48.xml"/><Relationship Id="rId20" Type="http://schemas.openxmlformats.org/officeDocument/2006/relationships/oleObject" Target="../embeddings/oleObject73.bin"/><Relationship Id="rId41" Type="http://schemas.openxmlformats.org/officeDocument/2006/relationships/image" Target="../media/image38.emf"/><Relationship Id="rId54" Type="http://schemas.openxmlformats.org/officeDocument/2006/relationships/oleObject" Target="../embeddings/oleObject100.bin"/><Relationship Id="rId62" Type="http://schemas.openxmlformats.org/officeDocument/2006/relationships/ctrlProp" Target="../ctrlProps/ctrlProp43.xml"/><Relationship Id="rId70" Type="http://schemas.openxmlformats.org/officeDocument/2006/relationships/ctrlProp" Target="../ctrlProps/ctrlProp51.xml"/><Relationship Id="rId75" Type="http://schemas.openxmlformats.org/officeDocument/2006/relationships/ctrlProp" Target="../ctrlProps/ctrlProp56.xml"/><Relationship Id="rId83" Type="http://schemas.openxmlformats.org/officeDocument/2006/relationships/ctrlProp" Target="../ctrlProps/ctrlProp64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66.bin"/><Relationship Id="rId15" Type="http://schemas.openxmlformats.org/officeDocument/2006/relationships/image" Target="../media/image29.emf"/><Relationship Id="rId23" Type="http://schemas.openxmlformats.org/officeDocument/2006/relationships/image" Target="../media/image33.emf"/><Relationship Id="rId28" Type="http://schemas.openxmlformats.org/officeDocument/2006/relationships/oleObject" Target="../embeddings/oleObject79.bin"/><Relationship Id="rId36" Type="http://schemas.openxmlformats.org/officeDocument/2006/relationships/oleObject" Target="../embeddings/oleObject84.bin"/><Relationship Id="rId49" Type="http://schemas.openxmlformats.org/officeDocument/2006/relationships/oleObject" Target="../embeddings/oleObject95.bin"/><Relationship Id="rId57" Type="http://schemas.openxmlformats.org/officeDocument/2006/relationships/ctrlProp" Target="../ctrlProps/ctrlProp38.xml"/><Relationship Id="rId10" Type="http://schemas.openxmlformats.org/officeDocument/2006/relationships/oleObject" Target="../embeddings/oleObject68.bin"/><Relationship Id="rId31" Type="http://schemas.openxmlformats.org/officeDocument/2006/relationships/image" Target="../media/image34.emf"/><Relationship Id="rId44" Type="http://schemas.openxmlformats.org/officeDocument/2006/relationships/oleObject" Target="../embeddings/oleObject90.bin"/><Relationship Id="rId52" Type="http://schemas.openxmlformats.org/officeDocument/2006/relationships/oleObject" Target="../embeddings/oleObject98.bin"/><Relationship Id="rId60" Type="http://schemas.openxmlformats.org/officeDocument/2006/relationships/ctrlProp" Target="../ctrlProps/ctrlProp41.xml"/><Relationship Id="rId65" Type="http://schemas.openxmlformats.org/officeDocument/2006/relationships/ctrlProp" Target="../ctrlProps/ctrlProp46.xml"/><Relationship Id="rId73" Type="http://schemas.openxmlformats.org/officeDocument/2006/relationships/ctrlProp" Target="../ctrlProps/ctrlProp54.xml"/><Relationship Id="rId78" Type="http://schemas.openxmlformats.org/officeDocument/2006/relationships/ctrlProp" Target="../ctrlProps/ctrlProp59.xml"/><Relationship Id="rId81" Type="http://schemas.openxmlformats.org/officeDocument/2006/relationships/ctrlProp" Target="../ctrlProps/ctrlProp62.xml"/><Relationship Id="rId86" Type="http://schemas.openxmlformats.org/officeDocument/2006/relationships/ctrlProp" Target="../ctrlProps/ctrlProp6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AB257"/>
  <sheetViews>
    <sheetView topLeftCell="F39" workbookViewId="0">
      <selection activeCell="O69" sqref="O69"/>
    </sheetView>
  </sheetViews>
  <sheetFormatPr defaultColWidth="9.1796875" defaultRowHeight="12.5" x14ac:dyDescent="0.25"/>
  <cols>
    <col min="1" max="3" width="9.1796875" style="246"/>
    <col min="4" max="4" width="17" style="246" customWidth="1"/>
    <col min="5" max="8" width="17.1796875" style="246" customWidth="1"/>
    <col min="9" max="9" width="15.453125" style="246" customWidth="1"/>
    <col min="10" max="10" width="12.54296875" style="246" customWidth="1"/>
    <col min="11" max="11" width="9.1796875" style="246"/>
    <col min="12" max="12" width="18.7265625" style="246" customWidth="1"/>
    <col min="13" max="13" width="9.1796875" style="246"/>
    <col min="14" max="14" width="13.54296875" style="246" customWidth="1"/>
    <col min="15" max="15" width="15.1796875" style="246" customWidth="1"/>
    <col min="16" max="17" width="9.1796875" style="246"/>
    <col min="18" max="18" width="14.1796875" style="246" customWidth="1"/>
    <col min="19" max="19" width="10.81640625" style="246" customWidth="1"/>
    <col min="20" max="20" width="6.54296875" style="246" customWidth="1"/>
    <col min="21" max="21" width="14.1796875" style="246" customWidth="1"/>
    <col min="22" max="22" width="10.81640625" style="246" customWidth="1"/>
    <col min="23" max="23" width="9.1796875" style="246"/>
    <col min="24" max="24" width="16.54296875" style="246" customWidth="1"/>
    <col min="25" max="26" width="9.1796875" style="246"/>
    <col min="27" max="27" width="15.1796875" style="246" customWidth="1"/>
    <col min="28" max="28" width="9.1796875" style="246"/>
    <col min="29" max="29" width="4.1796875" style="246" customWidth="1"/>
    <col min="30" max="16384" width="9.1796875" style="246"/>
  </cols>
  <sheetData>
    <row r="1" spans="2:28" ht="13" x14ac:dyDescent="0.3">
      <c r="E1" s="247" t="s">
        <v>57</v>
      </c>
      <c r="F1" s="247"/>
      <c r="G1" s="247" t="s">
        <v>110</v>
      </c>
      <c r="H1" s="247"/>
      <c r="I1" s="247" t="s">
        <v>80</v>
      </c>
      <c r="L1" s="247" t="s">
        <v>84</v>
      </c>
      <c r="O1" s="247" t="s">
        <v>107</v>
      </c>
      <c r="R1" s="247" t="s">
        <v>108</v>
      </c>
      <c r="X1" s="247" t="s">
        <v>92</v>
      </c>
    </row>
    <row r="2" spans="2:28" x14ac:dyDescent="0.25">
      <c r="B2" s="246" t="s">
        <v>9</v>
      </c>
      <c r="C2" s="246" t="str">
        <f t="shared" ref="C2:C27" si="0">B2</f>
        <v>a</v>
      </c>
      <c r="D2" s="246" t="str">
        <f t="array" ref="D2:D257">TRANSPOSE(data!1:1)</f>
        <v>moje data 1</v>
      </c>
      <c r="E2" s="246" t="str">
        <f>IF(D2=0,"",D2)</f>
        <v>moje data 1</v>
      </c>
      <c r="G2" s="246" t="s">
        <v>85</v>
      </c>
      <c r="H2" s="246">
        <v>4</v>
      </c>
      <c r="I2" s="246" t="s">
        <v>85</v>
      </c>
      <c r="J2" s="246">
        <v>5</v>
      </c>
      <c r="L2" s="246" t="s">
        <v>85</v>
      </c>
      <c r="M2" s="246">
        <v>10</v>
      </c>
      <c r="O2" s="246" t="s">
        <v>85</v>
      </c>
      <c r="P2" s="246">
        <v>14</v>
      </c>
      <c r="R2" s="246" t="s">
        <v>85</v>
      </c>
      <c r="S2" s="246">
        <v>4</v>
      </c>
      <c r="U2" s="246" t="s">
        <v>85</v>
      </c>
      <c r="V2" s="246">
        <v>5</v>
      </c>
      <c r="X2" s="246" t="s">
        <v>85</v>
      </c>
      <c r="Y2" s="246">
        <v>34</v>
      </c>
      <c r="AA2" s="246" t="s">
        <v>85</v>
      </c>
      <c r="AB2" s="246">
        <v>35</v>
      </c>
    </row>
    <row r="3" spans="2:28" x14ac:dyDescent="0.25">
      <c r="B3" s="246" t="s">
        <v>58</v>
      </c>
      <c r="C3" s="246" t="str">
        <f t="shared" si="0"/>
        <v>b</v>
      </c>
      <c r="D3" s="246" t="str">
        <v>moje data 2</v>
      </c>
      <c r="E3" s="246" t="str">
        <f t="shared" ref="E3:E66" si="1">IF(D3=0,"",D3)</f>
        <v>moje data 2</v>
      </c>
      <c r="G3" s="246" t="s">
        <v>81</v>
      </c>
      <c r="H3" s="246">
        <f>H2+1</f>
        <v>5</v>
      </c>
      <c r="I3" s="246" t="s">
        <v>81</v>
      </c>
      <c r="J3" s="246">
        <f>J2+1</f>
        <v>6</v>
      </c>
      <c r="L3" s="246" t="s">
        <v>81</v>
      </c>
      <c r="M3" s="246">
        <f>M2+1</f>
        <v>11</v>
      </c>
      <c r="O3" s="246" t="s">
        <v>81</v>
      </c>
      <c r="P3" s="246">
        <f>P2+1</f>
        <v>15</v>
      </c>
      <c r="R3" s="246" t="s">
        <v>81</v>
      </c>
      <c r="S3" s="246">
        <f>S2+1</f>
        <v>5</v>
      </c>
      <c r="U3" s="246" t="s">
        <v>81</v>
      </c>
      <c r="V3" s="246">
        <f>V2+1</f>
        <v>6</v>
      </c>
      <c r="X3" s="246" t="s">
        <v>81</v>
      </c>
      <c r="Y3" s="246">
        <f>Y2+1</f>
        <v>35</v>
      </c>
      <c r="AA3" s="246" t="s">
        <v>81</v>
      </c>
      <c r="AB3" s="246">
        <f>AB2+1</f>
        <v>36</v>
      </c>
    </row>
    <row r="4" spans="2:28" x14ac:dyDescent="0.25">
      <c r="B4" s="246" t="s">
        <v>59</v>
      </c>
      <c r="C4" s="246" t="str">
        <f t="shared" si="0"/>
        <v>c</v>
      </c>
      <c r="D4" s="246" t="str">
        <v>moje data 3</v>
      </c>
      <c r="E4" s="246" t="str">
        <f t="shared" si="1"/>
        <v>moje data 3</v>
      </c>
      <c r="H4" s="246" t="str">
        <f>ADDRESS(H3,3)</f>
        <v>$C$5</v>
      </c>
      <c r="J4" s="246" t="str">
        <f>ADDRESS(J3,3)</f>
        <v>$C$6</v>
      </c>
      <c r="M4" s="246" t="str">
        <f>ADDRESS(M3,3)</f>
        <v>$C$11</v>
      </c>
      <c r="P4" s="246" t="str">
        <f>ADDRESS(P3,3)</f>
        <v>$C$15</v>
      </c>
      <c r="S4" s="246" t="str">
        <f>ADDRESS(S3,3)</f>
        <v>$C$5</v>
      </c>
      <c r="V4" s="246" t="str">
        <f>ADDRESS(V3,3)</f>
        <v>$C$6</v>
      </c>
      <c r="Y4" s="246" t="str">
        <f>ADDRESS(Y3,3)</f>
        <v>$C$35</v>
      </c>
      <c r="AB4" s="246" t="str">
        <f>ADDRESS(AB3,3)</f>
        <v>$C$36</v>
      </c>
    </row>
    <row r="5" spans="2:28" ht="13" thickBot="1" x14ac:dyDescent="0.3">
      <c r="B5" s="246" t="s">
        <v>60</v>
      </c>
      <c r="C5" s="246" t="str">
        <f>B5</f>
        <v>d</v>
      </c>
      <c r="D5" s="246" t="str">
        <v>tuk v mléku</v>
      </c>
      <c r="E5" s="246" t="str">
        <f t="shared" si="1"/>
        <v>tuk v mléku</v>
      </c>
      <c r="G5" s="246" t="s">
        <v>82</v>
      </c>
      <c r="H5" s="246" t="str">
        <f ca="1">INDIRECT(H4)</f>
        <v>d</v>
      </c>
      <c r="I5" s="246" t="s">
        <v>82</v>
      </c>
      <c r="J5" s="246" t="str">
        <f ca="1">INDIRECT(J4)</f>
        <v>e</v>
      </c>
      <c r="L5" s="246" t="s">
        <v>82</v>
      </c>
      <c r="M5" s="246" t="str">
        <f ca="1">INDIRECT(M4)</f>
        <v>j</v>
      </c>
      <c r="O5" s="246" t="s">
        <v>82</v>
      </c>
      <c r="P5" s="246" t="str">
        <f ca="1">INDIRECT(P4)</f>
        <v>n</v>
      </c>
      <c r="R5" s="246" t="s">
        <v>82</v>
      </c>
      <c r="S5" s="246" t="str">
        <f ca="1">INDIRECT(S4)</f>
        <v>d</v>
      </c>
      <c r="U5" s="246" t="s">
        <v>82</v>
      </c>
      <c r="V5" s="246" t="str">
        <f ca="1">INDIRECT(V4)</f>
        <v>e</v>
      </c>
      <c r="X5" s="246" t="s">
        <v>82</v>
      </c>
      <c r="Y5" s="246" t="str">
        <f ca="1">INDIRECT(Y4)</f>
        <v>ah</v>
      </c>
      <c r="AA5" s="246" t="s">
        <v>82</v>
      </c>
      <c r="AB5" s="246" t="str">
        <f ca="1">INDIRECT(AB4)</f>
        <v>ai</v>
      </c>
    </row>
    <row r="6" spans="2:28" ht="13.5" thickBot="1" x14ac:dyDescent="0.35">
      <c r="B6" s="246" t="s">
        <v>61</v>
      </c>
      <c r="C6" s="246" t="str">
        <f t="shared" si="0"/>
        <v>e</v>
      </c>
      <c r="D6" s="246" t="str">
        <v>výška dětí</v>
      </c>
      <c r="E6" s="246" t="str">
        <f t="shared" si="1"/>
        <v>výška dětí</v>
      </c>
      <c r="G6" s="247" t="s">
        <v>83</v>
      </c>
      <c r="H6" s="248" t="str">
        <f ca="1">"data!"&amp;H5&amp;":"&amp;H5</f>
        <v>data!d:d</v>
      </c>
      <c r="I6" s="247" t="s">
        <v>83</v>
      </c>
      <c r="J6" s="248" t="str">
        <f ca="1">"data!"&amp;J5&amp;":"&amp;J5</f>
        <v>data!e:e</v>
      </c>
      <c r="L6" s="247" t="s">
        <v>83</v>
      </c>
      <c r="M6" s="248" t="str">
        <f ca="1">"data!"&amp;M5&amp;":"&amp;M5</f>
        <v>data!j:j</v>
      </c>
      <c r="O6" s="247" t="s">
        <v>83</v>
      </c>
      <c r="P6" s="248" t="str">
        <f ca="1">"data!"&amp;P5&amp;":"&amp;P5</f>
        <v>data!n:n</v>
      </c>
      <c r="R6" s="247" t="s">
        <v>83</v>
      </c>
      <c r="S6" s="248" t="str">
        <f ca="1">"data!"&amp;S5&amp;":"&amp;S5</f>
        <v>data!d:d</v>
      </c>
      <c r="U6" s="247" t="s">
        <v>83</v>
      </c>
      <c r="V6" s="248" t="str">
        <f ca="1">"data!"&amp;V5&amp;":"&amp;V5</f>
        <v>data!e:e</v>
      </c>
      <c r="X6" s="247" t="s">
        <v>83</v>
      </c>
      <c r="Y6" s="248" t="str">
        <f ca="1">"data!"&amp;Y5&amp;":"&amp;Y5</f>
        <v>data!ah:ah</v>
      </c>
      <c r="AA6" s="247" t="s">
        <v>83</v>
      </c>
      <c r="AB6" s="248" t="str">
        <f ca="1">"data!"&amp;AB5&amp;":"&amp;AB5</f>
        <v>data!ai:ai</v>
      </c>
    </row>
    <row r="7" spans="2:28" ht="13.5" thickBot="1" x14ac:dyDescent="0.35">
      <c r="B7" s="246" t="s">
        <v>62</v>
      </c>
      <c r="C7" s="246" t="str">
        <f t="shared" si="0"/>
        <v>f</v>
      </c>
      <c r="D7" s="246" t="str">
        <v>prach ve vzduchu</v>
      </c>
      <c r="E7" s="246" t="str">
        <f t="shared" si="1"/>
        <v>prach ve vzduchu</v>
      </c>
      <c r="G7" s="246" t="s">
        <v>98</v>
      </c>
      <c r="H7" s="246" t="str">
        <f ca="1">"data!"&amp;H5&amp;"2"&amp;":"&amp;H5&amp;"10000"</f>
        <v>data!d2:d10000</v>
      </c>
      <c r="I7" s="246" t="s">
        <v>98</v>
      </c>
      <c r="J7" s="248" t="str">
        <f ca="1">"data!"&amp;J5&amp;"2"&amp;":"&amp;J5&amp;"10000"</f>
        <v>data!e2:e10000</v>
      </c>
      <c r="X7" s="246" t="s">
        <v>94</v>
      </c>
      <c r="Y7" s="246" t="str">
        <f ca="1">"data!"&amp;Y5&amp;"1:"&amp;Y5&amp;"65535"</f>
        <v>data!ah1:ah65535</v>
      </c>
      <c r="AA7" s="246" t="s">
        <v>94</v>
      </c>
      <c r="AB7" s="246" t="str">
        <f ca="1">"data!"&amp;AB5&amp;"1:"&amp;AB5&amp;"65535"</f>
        <v>data!ai1:ai65535</v>
      </c>
    </row>
    <row r="8" spans="2:28" x14ac:dyDescent="0.25">
      <c r="B8" s="246" t="s">
        <v>63</v>
      </c>
      <c r="C8" s="246" t="str">
        <f t="shared" si="0"/>
        <v>g</v>
      </c>
      <c r="D8" s="246" t="str">
        <v>42-1 laťovky</v>
      </c>
      <c r="E8" s="246" t="str">
        <f t="shared" si="1"/>
        <v>42-1 laťovky</v>
      </c>
      <c r="G8" s="246" t="s">
        <v>104</v>
      </c>
      <c r="H8" s="246">
        <f ca="1">MODE(INDIRECT(H7))</f>
        <v>14.83</v>
      </c>
      <c r="I8" s="246" t="s">
        <v>104</v>
      </c>
      <c r="J8" s="246">
        <f ca="1">MODE(INDIRECT(J7))</f>
        <v>82</v>
      </c>
      <c r="L8" s="246" t="s">
        <v>98</v>
      </c>
      <c r="M8" s="246">
        <f ca="1">MAX('intervalové rozdělení'!D5:D24)</f>
        <v>15</v>
      </c>
    </row>
    <row r="9" spans="2:28" x14ac:dyDescent="0.25">
      <c r="B9" s="246" t="s">
        <v>7</v>
      </c>
      <c r="C9" s="246" t="str">
        <f t="shared" si="0"/>
        <v>h</v>
      </c>
      <c r="D9" s="246" t="str">
        <v>42-2 koncentrace</v>
      </c>
      <c r="E9" s="246" t="str">
        <f t="shared" si="1"/>
        <v>42-2 koncentrace</v>
      </c>
      <c r="M9" s="246">
        <f ca="1">MATCH(M8,'intervalové rozdělení'!D5:D24,0)+4</f>
        <v>6</v>
      </c>
    </row>
    <row r="10" spans="2:28" ht="13" x14ac:dyDescent="0.3">
      <c r="B10" s="246" t="s">
        <v>64</v>
      </c>
      <c r="C10" s="246" t="str">
        <f t="shared" si="0"/>
        <v>i</v>
      </c>
      <c r="D10" s="246" t="str">
        <v>42-3 test z matematiky</v>
      </c>
      <c r="E10" s="246" t="str">
        <f t="shared" si="1"/>
        <v>42-3 test z matematiky</v>
      </c>
      <c r="J10" s="249"/>
      <c r="K10" s="249"/>
      <c r="L10" s="249"/>
      <c r="M10" s="250" t="str">
        <f ca="1">ADDRESS(M9,3,4)</f>
        <v>C6</v>
      </c>
      <c r="N10" s="249"/>
      <c r="O10" s="247" t="s">
        <v>106</v>
      </c>
      <c r="R10" s="247" t="s">
        <v>109</v>
      </c>
    </row>
    <row r="11" spans="2:28" x14ac:dyDescent="0.25">
      <c r="B11" s="246" t="s">
        <v>65</v>
      </c>
      <c r="C11" s="246" t="str">
        <f t="shared" si="0"/>
        <v>j</v>
      </c>
      <c r="D11" s="246" t="str">
        <v>42-4 zemětřesení</v>
      </c>
      <c r="E11" s="246" t="str">
        <f t="shared" si="1"/>
        <v>42-4 zemětřesení</v>
      </c>
      <c r="J11" s="249"/>
      <c r="K11" s="249"/>
      <c r="L11" s="249"/>
      <c r="M11" s="246" t="str">
        <f ca="1">"'intervalové rozdělení'!"&amp;M10</f>
        <v>'intervalové rozdělení'!C6</v>
      </c>
      <c r="N11" s="249"/>
      <c r="O11" s="246" t="s">
        <v>85</v>
      </c>
      <c r="P11" s="246">
        <v>16</v>
      </c>
      <c r="R11" s="246" t="s">
        <v>85</v>
      </c>
      <c r="S11" s="246">
        <v>42</v>
      </c>
      <c r="U11" s="246" t="s">
        <v>85</v>
      </c>
      <c r="V11" s="246">
        <v>43</v>
      </c>
    </row>
    <row r="12" spans="2:28" ht="13" thickBot="1" x14ac:dyDescent="0.3">
      <c r="B12" s="246" t="s">
        <v>6</v>
      </c>
      <c r="C12" s="246" t="str">
        <f t="shared" si="0"/>
        <v>k</v>
      </c>
      <c r="D12" s="246" t="str">
        <v>42-5 rychlost aut</v>
      </c>
      <c r="E12" s="246" t="str">
        <f t="shared" si="1"/>
        <v>42-5 rychlost aut</v>
      </c>
      <c r="J12" s="249"/>
      <c r="K12" s="249"/>
      <c r="L12" s="249" t="s">
        <v>104</v>
      </c>
      <c r="M12" s="246">
        <f ca="1">INDIRECT(M11)</f>
        <v>5.85</v>
      </c>
      <c r="N12" s="249"/>
      <c r="O12" s="246" t="s">
        <v>81</v>
      </c>
      <c r="P12" s="246">
        <f>P11+1</f>
        <v>17</v>
      </c>
      <c r="R12" s="246" t="s">
        <v>81</v>
      </c>
      <c r="S12" s="246">
        <f>S11+1</f>
        <v>43</v>
      </c>
      <c r="U12" s="246" t="s">
        <v>81</v>
      </c>
      <c r="V12" s="246">
        <f>V11+1</f>
        <v>44</v>
      </c>
    </row>
    <row r="13" spans="2:28" ht="13" x14ac:dyDescent="0.3">
      <c r="B13" s="246" t="s">
        <v>66</v>
      </c>
      <c r="C13" s="246" t="str">
        <f t="shared" si="0"/>
        <v>l</v>
      </c>
      <c r="D13" s="246" t="str">
        <v>49-2 hodnoty</v>
      </c>
      <c r="E13" s="246" t="str">
        <f t="shared" si="1"/>
        <v>49-2 hodnoty</v>
      </c>
      <c r="G13" s="384" t="s">
        <v>244</v>
      </c>
      <c r="H13" s="385"/>
      <c r="I13" s="385"/>
      <c r="J13" s="386"/>
      <c r="K13" s="385"/>
      <c r="L13" s="387"/>
      <c r="M13" s="249"/>
      <c r="N13" s="249"/>
      <c r="P13" s="246" t="str">
        <f>ADDRESS(P12,3)</f>
        <v>$C$17</v>
      </c>
      <c r="S13" s="246" t="str">
        <f>ADDRESS(S12,3)</f>
        <v>$C$43</v>
      </c>
      <c r="V13" s="246" t="str">
        <f>ADDRESS(V12,3)</f>
        <v>$C$44</v>
      </c>
    </row>
    <row r="14" spans="2:28" ht="13" thickBot="1" x14ac:dyDescent="0.3">
      <c r="B14" s="246" t="s">
        <v>67</v>
      </c>
      <c r="C14" s="246" t="str">
        <f t="shared" si="0"/>
        <v>m</v>
      </c>
      <c r="D14" s="246" t="str">
        <v>61-1 trestné střílení</v>
      </c>
      <c r="E14" s="246" t="str">
        <f t="shared" si="1"/>
        <v>61-1 trestné střílení</v>
      </c>
      <c r="G14" s="388" t="s">
        <v>69</v>
      </c>
      <c r="H14" s="389" t="s">
        <v>236</v>
      </c>
      <c r="I14" s="389" t="s">
        <v>237</v>
      </c>
      <c r="J14" s="390"/>
      <c r="K14" s="390"/>
      <c r="L14" s="391"/>
      <c r="M14" s="249"/>
      <c r="N14" s="249"/>
      <c r="O14" s="246" t="s">
        <v>82</v>
      </c>
      <c r="P14" s="246" t="str">
        <f ca="1">INDIRECT(P13)</f>
        <v>p</v>
      </c>
      <c r="R14" s="246" t="s">
        <v>82</v>
      </c>
      <c r="S14" s="246" t="str">
        <f ca="1">INDIRECT(S13)</f>
        <v>ap</v>
      </c>
      <c r="U14" s="246" t="s">
        <v>82</v>
      </c>
      <c r="V14" s="246" t="str">
        <f ca="1">INDIRECT(V13)</f>
        <v>aq</v>
      </c>
    </row>
    <row r="15" spans="2:28" ht="13.5" thickBot="1" x14ac:dyDescent="0.35">
      <c r="B15" s="246" t="s">
        <v>0</v>
      </c>
      <c r="C15" s="246" t="str">
        <f t="shared" si="0"/>
        <v>n</v>
      </c>
      <c r="D15" s="246" t="str">
        <v>61-2 hmotnost soli</v>
      </c>
      <c r="E15" s="246" t="str">
        <f t="shared" si="1"/>
        <v>61-2 hmotnost soli</v>
      </c>
      <c r="G15" s="392">
        <v>0.05</v>
      </c>
      <c r="H15" s="390">
        <f>NORMINV(G15,0,1)</f>
        <v>-1.6448536269514726</v>
      </c>
      <c r="I15" s="390">
        <f ca="1">PERCENTILE(INDIRECT($H$6),G15)</f>
        <v>14.743</v>
      </c>
      <c r="J15" s="390" t="s">
        <v>238</v>
      </c>
      <c r="K15" s="393">
        <f ca="1">AVERAGE(INDIRECT($H$6))</f>
        <v>14.979999999999999</v>
      </c>
      <c r="L15" s="391"/>
      <c r="M15" s="249"/>
      <c r="N15" s="249"/>
      <c r="O15" s="247" t="s">
        <v>83</v>
      </c>
      <c r="P15" s="248" t="str">
        <f ca="1">"data!"&amp;P14&amp;":"&amp;P14</f>
        <v>data!p:p</v>
      </c>
      <c r="R15" s="247" t="s">
        <v>83</v>
      </c>
      <c r="S15" s="248" t="str">
        <f ca="1">"data!"&amp;S14&amp;":"&amp;S14</f>
        <v>data!ap:ap</v>
      </c>
      <c r="U15" s="247" t="s">
        <v>83</v>
      </c>
      <c r="V15" s="248" t="str">
        <f ca="1">"data!"&amp;V14&amp;":"&amp;V14</f>
        <v>data!aq:aq</v>
      </c>
    </row>
    <row r="16" spans="2:28" ht="13" x14ac:dyDescent="0.3">
      <c r="B16" s="246" t="s">
        <v>68</v>
      </c>
      <c r="C16" s="246" t="str">
        <f t="shared" si="0"/>
        <v>o</v>
      </c>
      <c r="D16" s="246" t="str">
        <v>62-3 příchod obsluhy</v>
      </c>
      <c r="E16" s="246" t="str">
        <f t="shared" si="1"/>
        <v>62-3 příchod obsluhy</v>
      </c>
      <c r="G16" s="392">
        <v>0.1</v>
      </c>
      <c r="H16" s="390">
        <f t="shared" ref="H16:H33" si="2">NORMINV(G16,0,1)</f>
        <v>-1.2815515655446006</v>
      </c>
      <c r="I16" s="390">
        <f t="shared" ref="I16:I33" ca="1" si="3">PERCENTILE(INDIRECT($H$6),G16)</f>
        <v>14.773999999999999</v>
      </c>
      <c r="J16" s="390" t="s">
        <v>239</v>
      </c>
      <c r="K16" s="393">
        <f ca="1">STDEV(INDIRECT($H$6))</f>
        <v>0.21223302557061474</v>
      </c>
      <c r="L16" s="391"/>
      <c r="M16" s="249"/>
      <c r="N16" s="251"/>
    </row>
    <row r="17" spans="1:14" x14ac:dyDescent="0.25">
      <c r="B17" s="246" t="s">
        <v>69</v>
      </c>
      <c r="C17" s="246" t="str">
        <f t="shared" si="0"/>
        <v>p</v>
      </c>
      <c r="D17" s="246" t="str">
        <v>tank</v>
      </c>
      <c r="E17" s="246" t="str">
        <f t="shared" si="1"/>
        <v>tank</v>
      </c>
      <c r="G17" s="392">
        <v>0.15</v>
      </c>
      <c r="H17" s="390">
        <f t="shared" si="2"/>
        <v>-1.0364333894937898</v>
      </c>
      <c r="I17" s="390">
        <f t="shared" ca="1" si="3"/>
        <v>14.785</v>
      </c>
      <c r="J17" s="390" t="s">
        <v>240</v>
      </c>
      <c r="K17" s="390">
        <f>NORMINV(0.25,0,1)</f>
        <v>-0.67448975019608193</v>
      </c>
      <c r="L17" s="391">
        <f ca="1">I19</f>
        <v>14.83</v>
      </c>
      <c r="M17" s="249"/>
      <c r="N17" s="249"/>
    </row>
    <row r="18" spans="1:14" x14ac:dyDescent="0.25">
      <c r="B18" s="246" t="s">
        <v>70</v>
      </c>
      <c r="C18" s="246" t="str">
        <f t="shared" si="0"/>
        <v>q</v>
      </c>
      <c r="D18" s="246" t="str">
        <v>171-3 tank nástup</v>
      </c>
      <c r="E18" s="246" t="str">
        <f t="shared" si="1"/>
        <v>171-3 tank nástup</v>
      </c>
      <c r="G18" s="392">
        <v>0.2</v>
      </c>
      <c r="H18" s="390">
        <f t="shared" si="2"/>
        <v>-0.84162123357291452</v>
      </c>
      <c r="I18" s="390">
        <f t="shared" ca="1" si="3"/>
        <v>14.82</v>
      </c>
      <c r="J18" s="390" t="s">
        <v>241</v>
      </c>
      <c r="K18" s="390">
        <f>NORMINV(0.75,0,1)</f>
        <v>0.67448975019608193</v>
      </c>
      <c r="L18" s="391">
        <f ca="1">I29</f>
        <v>15.074999999999999</v>
      </c>
      <c r="M18" s="249"/>
      <c r="N18" s="249"/>
    </row>
    <row r="19" spans="1:14" x14ac:dyDescent="0.25">
      <c r="B19" s="246" t="s">
        <v>71</v>
      </c>
      <c r="C19" s="246" t="str">
        <f t="shared" si="0"/>
        <v>r</v>
      </c>
      <c r="D19" s="246" t="str">
        <v>171-4 čas operace</v>
      </c>
      <c r="E19" s="246" t="str">
        <f t="shared" si="1"/>
        <v>171-4 čas operace</v>
      </c>
      <c r="G19" s="392">
        <v>0.25</v>
      </c>
      <c r="H19" s="390">
        <f t="shared" si="2"/>
        <v>-0.67448975019608193</v>
      </c>
      <c r="I19" s="390">
        <f t="shared" ca="1" si="3"/>
        <v>14.83</v>
      </c>
      <c r="J19" s="390"/>
      <c r="K19" s="390"/>
      <c r="L19" s="391"/>
      <c r="M19" s="249"/>
      <c r="N19" s="249"/>
    </row>
    <row r="20" spans="1:14" x14ac:dyDescent="0.25">
      <c r="B20" s="246" t="s">
        <v>72</v>
      </c>
      <c r="C20" s="246" t="str">
        <f t="shared" si="0"/>
        <v>s</v>
      </c>
      <c r="D20" s="246" t="str">
        <v>benzín</v>
      </c>
      <c r="E20" s="246" t="str">
        <f t="shared" si="1"/>
        <v>benzín</v>
      </c>
      <c r="G20" s="392">
        <v>0.3</v>
      </c>
      <c r="H20" s="390">
        <f t="shared" si="2"/>
        <v>-0.52440051270804089</v>
      </c>
      <c r="I20" s="390">
        <f t="shared" ca="1" si="3"/>
        <v>14.834</v>
      </c>
      <c r="J20" s="390"/>
      <c r="K20" s="390"/>
      <c r="L20" s="391"/>
      <c r="M20" s="249"/>
      <c r="N20" s="249"/>
    </row>
    <row r="21" spans="1:14" x14ac:dyDescent="0.25">
      <c r="B21" s="246" t="s">
        <v>73</v>
      </c>
      <c r="C21" s="246" t="str">
        <f t="shared" si="0"/>
        <v>t</v>
      </c>
      <c r="D21" s="246" t="str">
        <v>koncentrace</v>
      </c>
      <c r="E21" s="246" t="str">
        <f t="shared" si="1"/>
        <v>koncentrace</v>
      </c>
      <c r="G21" s="392">
        <v>0.35</v>
      </c>
      <c r="H21" s="390">
        <f t="shared" si="2"/>
        <v>-0.38532046640756784</v>
      </c>
      <c r="I21" s="390">
        <f t="shared" ca="1" si="3"/>
        <v>14.847999999999999</v>
      </c>
      <c r="J21" s="390"/>
      <c r="K21" s="390"/>
      <c r="L21" s="391"/>
    </row>
    <row r="22" spans="1:14" x14ac:dyDescent="0.25">
      <c r="B22" s="246" t="s">
        <v>74</v>
      </c>
      <c r="C22" s="246" t="str">
        <f t="shared" si="0"/>
        <v>u</v>
      </c>
      <c r="D22" s="246" t="str">
        <v>automat</v>
      </c>
      <c r="E22" s="246" t="str">
        <f t="shared" si="1"/>
        <v>automat</v>
      </c>
      <c r="G22" s="392">
        <v>0.4</v>
      </c>
      <c r="H22" s="390">
        <f t="shared" si="2"/>
        <v>-0.25334710313579978</v>
      </c>
      <c r="I22" s="390">
        <f t="shared" ca="1" si="3"/>
        <v>14.91</v>
      </c>
      <c r="J22" s="390"/>
      <c r="K22" s="390"/>
      <c r="L22" s="391"/>
    </row>
    <row r="23" spans="1:14" x14ac:dyDescent="0.25">
      <c r="B23" s="246" t="s">
        <v>75</v>
      </c>
      <c r="C23" s="246" t="str">
        <f t="shared" si="0"/>
        <v>v</v>
      </c>
      <c r="D23" s="246" t="str">
        <v>184-6 letadlo</v>
      </c>
      <c r="E23" s="246" t="str">
        <f t="shared" si="1"/>
        <v>184-6 letadlo</v>
      </c>
      <c r="G23" s="392">
        <v>0.45</v>
      </c>
      <c r="H23" s="390">
        <f t="shared" si="2"/>
        <v>-0.12566134685507402</v>
      </c>
      <c r="I23" s="390">
        <f t="shared" ca="1" si="3"/>
        <v>14.95</v>
      </c>
      <c r="J23" s="390"/>
      <c r="K23" s="390"/>
      <c r="L23" s="391"/>
    </row>
    <row r="24" spans="1:14" x14ac:dyDescent="0.25">
      <c r="B24" s="246" t="s">
        <v>76</v>
      </c>
      <c r="C24" s="246" t="str">
        <f t="shared" si="0"/>
        <v>w</v>
      </c>
      <c r="D24" s="246" t="str">
        <v xml:space="preserve">184-7 obilí </v>
      </c>
      <c r="E24" s="246" t="str">
        <f t="shared" si="1"/>
        <v xml:space="preserve">184-7 obilí </v>
      </c>
      <c r="G24" s="392">
        <v>0.5</v>
      </c>
      <c r="H24" s="390">
        <f t="shared" si="2"/>
        <v>0</v>
      </c>
      <c r="I24" s="390">
        <f t="shared" ca="1" si="3"/>
        <v>14.95</v>
      </c>
      <c r="J24" s="390"/>
      <c r="K24" s="390"/>
      <c r="L24" s="391"/>
    </row>
    <row r="25" spans="1:14" x14ac:dyDescent="0.25">
      <c r="B25" s="246" t="s">
        <v>1</v>
      </c>
      <c r="C25" s="246" t="str">
        <f t="shared" si="0"/>
        <v>x</v>
      </c>
      <c r="D25" s="246" t="str">
        <v>185-8 výrobek</v>
      </c>
      <c r="E25" s="246" t="str">
        <f t="shared" si="1"/>
        <v>185-8 výrobek</v>
      </c>
      <c r="G25" s="392">
        <v>0.55000000000000004</v>
      </c>
      <c r="H25" s="390">
        <f t="shared" si="2"/>
        <v>0.12566134685507416</v>
      </c>
      <c r="I25" s="390">
        <f t="shared" ca="1" si="3"/>
        <v>14.971</v>
      </c>
      <c r="J25" s="390"/>
      <c r="K25" s="390"/>
      <c r="L25" s="391"/>
    </row>
    <row r="26" spans="1:14" x14ac:dyDescent="0.25">
      <c r="B26" s="246" t="s">
        <v>77</v>
      </c>
      <c r="C26" s="246" t="str">
        <f t="shared" si="0"/>
        <v>y</v>
      </c>
      <c r="D26" s="246" t="str">
        <v>185-10 disky</v>
      </c>
      <c r="E26" s="246" t="str">
        <f t="shared" si="1"/>
        <v>185-10 disky</v>
      </c>
      <c r="G26" s="392">
        <v>0.6</v>
      </c>
      <c r="H26" s="390">
        <f t="shared" si="2"/>
        <v>0.25334710313579978</v>
      </c>
      <c r="I26" s="390">
        <f t="shared" ca="1" si="3"/>
        <v>14.996</v>
      </c>
      <c r="J26" s="390"/>
      <c r="K26" s="390"/>
      <c r="L26" s="391"/>
    </row>
    <row r="27" spans="1:14" x14ac:dyDescent="0.25">
      <c r="B27" s="246" t="s">
        <v>78</v>
      </c>
      <c r="C27" s="246" t="str">
        <f t="shared" si="0"/>
        <v>z</v>
      </c>
      <c r="D27" s="246" t="str">
        <v>žárovky</v>
      </c>
      <c r="E27" s="246" t="str">
        <f t="shared" si="1"/>
        <v>žárovky</v>
      </c>
      <c r="G27" s="392">
        <v>0.65</v>
      </c>
      <c r="H27" s="390">
        <f t="shared" si="2"/>
        <v>0.38532046640756784</v>
      </c>
      <c r="I27" s="390">
        <f t="shared" ca="1" si="3"/>
        <v>15.025</v>
      </c>
      <c r="J27" s="390"/>
      <c r="K27" s="390"/>
      <c r="L27" s="391"/>
    </row>
    <row r="28" spans="1:14" x14ac:dyDescent="0.25">
      <c r="A28" s="246" t="s">
        <v>9</v>
      </c>
      <c r="B28" s="246" t="s">
        <v>9</v>
      </c>
      <c r="C28" s="246" t="str">
        <f>A28&amp;B28</f>
        <v>aa</v>
      </c>
      <c r="D28" s="246" t="str">
        <v>válečky</v>
      </c>
      <c r="E28" s="246" t="str">
        <f t="shared" si="1"/>
        <v>válečky</v>
      </c>
      <c r="G28" s="392">
        <v>0.7</v>
      </c>
      <c r="H28" s="390">
        <f t="shared" si="2"/>
        <v>0.52440051270804078</v>
      </c>
      <c r="I28" s="390">
        <f t="shared" ca="1" si="3"/>
        <v>15.06</v>
      </c>
      <c r="J28" s="390"/>
      <c r="K28" s="390"/>
      <c r="L28" s="391"/>
    </row>
    <row r="29" spans="1:14" x14ac:dyDescent="0.25">
      <c r="A29" s="246" t="s">
        <v>9</v>
      </c>
      <c r="B29" s="246" t="s">
        <v>58</v>
      </c>
      <c r="C29" s="246" t="str">
        <f t="shared" ref="C29:C92" si="4">A29&amp;B29</f>
        <v>ab</v>
      </c>
      <c r="D29" s="246" t="str">
        <v>209-2 káva</v>
      </c>
      <c r="E29" s="246" t="str">
        <f t="shared" si="1"/>
        <v>209-2 káva</v>
      </c>
      <c r="G29" s="392">
        <v>0.75</v>
      </c>
      <c r="H29" s="390">
        <f t="shared" si="2"/>
        <v>0.67448975019608193</v>
      </c>
      <c r="I29" s="390">
        <f t="shared" ca="1" si="3"/>
        <v>15.074999999999999</v>
      </c>
      <c r="J29" s="390"/>
      <c r="K29" s="390"/>
      <c r="L29" s="391"/>
    </row>
    <row r="30" spans="1:14" x14ac:dyDescent="0.25">
      <c r="A30" s="246" t="s">
        <v>9</v>
      </c>
      <c r="B30" s="246" t="s">
        <v>59</v>
      </c>
      <c r="C30" s="246" t="str">
        <f t="shared" si="4"/>
        <v>ac</v>
      </c>
      <c r="D30" s="246" t="str">
        <v>209-5 nápoj</v>
      </c>
      <c r="E30" s="246" t="str">
        <f t="shared" si="1"/>
        <v>209-5 nápoj</v>
      </c>
      <c r="G30" s="392">
        <v>0.8</v>
      </c>
      <c r="H30" s="390">
        <f t="shared" si="2"/>
        <v>0.84162123357291474</v>
      </c>
      <c r="I30" s="390">
        <f t="shared" ca="1" si="3"/>
        <v>15.093999999999999</v>
      </c>
      <c r="J30" s="390"/>
      <c r="K30" s="390"/>
      <c r="L30" s="391"/>
    </row>
    <row r="31" spans="1:14" x14ac:dyDescent="0.25">
      <c r="A31" s="246" t="s">
        <v>9</v>
      </c>
      <c r="B31" s="246" t="s">
        <v>60</v>
      </c>
      <c r="C31" s="246" t="str">
        <f t="shared" si="4"/>
        <v>ad</v>
      </c>
      <c r="D31" s="246" t="str">
        <v>210-10 cestující</v>
      </c>
      <c r="E31" s="246" t="str">
        <f t="shared" si="1"/>
        <v>210-10 cestující</v>
      </c>
      <c r="G31" s="392">
        <v>0.85</v>
      </c>
      <c r="H31" s="390">
        <f t="shared" si="2"/>
        <v>1.0364333894937898</v>
      </c>
      <c r="I31" s="390">
        <f t="shared" ca="1" si="3"/>
        <v>15.143000000000001</v>
      </c>
      <c r="J31" s="390"/>
      <c r="K31" s="390"/>
      <c r="L31" s="391"/>
    </row>
    <row r="32" spans="1:14" x14ac:dyDescent="0.25">
      <c r="A32" s="246" t="s">
        <v>9</v>
      </c>
      <c r="B32" s="246" t="s">
        <v>61</v>
      </c>
      <c r="C32" s="246" t="str">
        <f t="shared" si="4"/>
        <v>ae</v>
      </c>
      <c r="D32" s="246" t="str">
        <v>210-12 nerost</v>
      </c>
      <c r="E32" s="246" t="str">
        <f t="shared" si="1"/>
        <v>210-12 nerost</v>
      </c>
      <c r="G32" s="392">
        <v>0.9</v>
      </c>
      <c r="H32" s="390">
        <f t="shared" si="2"/>
        <v>1.2815515655446006</v>
      </c>
      <c r="I32" s="390">
        <f t="shared" ca="1" si="3"/>
        <v>15.222</v>
      </c>
      <c r="J32" s="390"/>
      <c r="K32" s="390"/>
      <c r="L32" s="391"/>
    </row>
    <row r="33" spans="1:20" ht="13" thickBot="1" x14ac:dyDescent="0.3">
      <c r="A33" s="246" t="s">
        <v>9</v>
      </c>
      <c r="B33" s="246" t="s">
        <v>62</v>
      </c>
      <c r="C33" s="246" t="str">
        <f t="shared" si="4"/>
        <v>af</v>
      </c>
      <c r="D33" s="246" t="str">
        <v>skok kontrolní</v>
      </c>
      <c r="E33" s="246" t="str">
        <f t="shared" si="1"/>
        <v>skok kontrolní</v>
      </c>
      <c r="G33" s="394">
        <v>0.95</v>
      </c>
      <c r="H33" s="395">
        <f t="shared" si="2"/>
        <v>1.6448536269514715</v>
      </c>
      <c r="I33" s="395">
        <f t="shared" ca="1" si="3"/>
        <v>15.336</v>
      </c>
      <c r="J33" s="395"/>
      <c r="K33" s="395"/>
      <c r="L33" s="396"/>
    </row>
    <row r="34" spans="1:20" ht="13" thickBot="1" x14ac:dyDescent="0.3">
      <c r="A34" s="246" t="s">
        <v>9</v>
      </c>
      <c r="B34" s="246" t="s">
        <v>63</v>
      </c>
      <c r="C34" s="246" t="str">
        <f t="shared" si="4"/>
        <v>ag</v>
      </c>
      <c r="D34" s="246" t="str">
        <v>skok experimentální</v>
      </c>
      <c r="E34" s="246" t="str">
        <f t="shared" si="1"/>
        <v>skok experimentální</v>
      </c>
    </row>
    <row r="35" spans="1:20" x14ac:dyDescent="0.25">
      <c r="A35" s="246" t="s">
        <v>9</v>
      </c>
      <c r="B35" s="246" t="s">
        <v>7</v>
      </c>
      <c r="C35" s="246" t="str">
        <f t="shared" si="4"/>
        <v>ah</v>
      </c>
      <c r="D35" s="246" t="str">
        <v>před kurzem</v>
      </c>
      <c r="E35" s="246" t="str">
        <f t="shared" si="1"/>
        <v>před kurzem</v>
      </c>
      <c r="G35" s="384" t="s">
        <v>245</v>
      </c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7"/>
    </row>
    <row r="36" spans="1:20" x14ac:dyDescent="0.25">
      <c r="A36" s="246" t="s">
        <v>9</v>
      </c>
      <c r="B36" s="246" t="s">
        <v>64</v>
      </c>
      <c r="C36" s="246" t="str">
        <f t="shared" si="4"/>
        <v>ai</v>
      </c>
      <c r="D36" s="246" t="str">
        <v>po kurzu</v>
      </c>
      <c r="E36" s="246" t="str">
        <f t="shared" si="1"/>
        <v>po kurzu</v>
      </c>
      <c r="G36" s="392" t="s">
        <v>246</v>
      </c>
      <c r="H36" s="397">
        <f ca="1">'popisné charakteristiky'!B5</f>
        <v>14.68</v>
      </c>
      <c r="I36" s="390"/>
      <c r="J36" s="390" t="s">
        <v>1</v>
      </c>
      <c r="K36" s="398" t="s">
        <v>246</v>
      </c>
      <c r="L36" s="398" t="s">
        <v>247</v>
      </c>
      <c r="M36" s="390"/>
      <c r="N36" s="390"/>
      <c r="O36" s="390"/>
      <c r="P36" s="390"/>
      <c r="Q36" s="390"/>
      <c r="R36" s="390"/>
      <c r="S36" s="390"/>
      <c r="T36" s="391"/>
    </row>
    <row r="37" spans="1:20" x14ac:dyDescent="0.25">
      <c r="A37" s="246" t="s">
        <v>9</v>
      </c>
      <c r="B37" s="246" t="s">
        <v>65</v>
      </c>
      <c r="C37" s="246" t="str">
        <f t="shared" si="4"/>
        <v>aj</v>
      </c>
      <c r="D37" s="246" t="str">
        <v>221-2 samice</v>
      </c>
      <c r="E37" s="246" t="str">
        <f t="shared" si="1"/>
        <v>221-2 samice</v>
      </c>
      <c r="G37" s="392" t="s">
        <v>247</v>
      </c>
      <c r="H37" s="390">
        <f ca="1">'popisné charakteristiky'!B6</f>
        <v>15.49</v>
      </c>
      <c r="I37" s="390"/>
      <c r="J37" s="390">
        <v>0.4</v>
      </c>
      <c r="K37" s="390">
        <f ca="1">H36</f>
        <v>14.68</v>
      </c>
      <c r="L37" s="390">
        <f ca="1">H37</f>
        <v>15.49</v>
      </c>
      <c r="M37" s="390"/>
      <c r="N37" s="390"/>
      <c r="O37" s="390">
        <v>0.25</v>
      </c>
      <c r="P37" s="390">
        <f ca="1">H38</f>
        <v>14.83</v>
      </c>
      <c r="Q37" s="390"/>
      <c r="R37" s="390">
        <v>0.5</v>
      </c>
      <c r="S37" s="390">
        <f ca="1">H37</f>
        <v>15.49</v>
      </c>
      <c r="T37" s="391">
        <f ca="1">H36</f>
        <v>14.68</v>
      </c>
    </row>
    <row r="38" spans="1:20" x14ac:dyDescent="0.25">
      <c r="A38" s="246" t="s">
        <v>9</v>
      </c>
      <c r="B38" s="246" t="s">
        <v>6</v>
      </c>
      <c r="C38" s="246" t="str">
        <f t="shared" si="4"/>
        <v>ak</v>
      </c>
      <c r="D38" s="246" t="str">
        <v>221-2 samec</v>
      </c>
      <c r="E38" s="246" t="str">
        <f t="shared" si="1"/>
        <v>221-2 samec</v>
      </c>
      <c r="G38" s="392" t="s">
        <v>240</v>
      </c>
      <c r="H38" s="390">
        <f ca="1">'popisné charakteristiky'!G9</f>
        <v>14.83</v>
      </c>
      <c r="I38" s="390"/>
      <c r="J38" s="390">
        <v>0.6</v>
      </c>
      <c r="K38" s="390">
        <f ca="1">H36</f>
        <v>14.68</v>
      </c>
      <c r="L38" s="390">
        <f ca="1">H37</f>
        <v>15.49</v>
      </c>
      <c r="M38" s="390"/>
      <c r="N38" s="390"/>
      <c r="O38" s="390">
        <v>0.25</v>
      </c>
      <c r="P38" s="390">
        <f ca="1">H40</f>
        <v>15.074999999999999</v>
      </c>
      <c r="Q38" s="390"/>
      <c r="R38" s="390">
        <v>0.5</v>
      </c>
      <c r="S38" s="390">
        <f ca="1">H40</f>
        <v>15.074999999999999</v>
      </c>
      <c r="T38" s="391">
        <f ca="1">H38</f>
        <v>14.83</v>
      </c>
    </row>
    <row r="39" spans="1:20" x14ac:dyDescent="0.25">
      <c r="A39" s="246" t="s">
        <v>9</v>
      </c>
      <c r="B39" s="246" t="s">
        <v>66</v>
      </c>
      <c r="C39" s="246" t="str">
        <f t="shared" si="4"/>
        <v>al</v>
      </c>
      <c r="D39" s="246" t="str">
        <v>221-3 1.metoda</v>
      </c>
      <c r="E39" s="246" t="str">
        <f t="shared" si="1"/>
        <v>221-3 1.metoda</v>
      </c>
      <c r="G39" s="392" t="s">
        <v>248</v>
      </c>
      <c r="H39" s="390">
        <f ca="1">'popisné charakteristiky'!H9</f>
        <v>14.95</v>
      </c>
      <c r="I39" s="390"/>
      <c r="J39" s="390"/>
      <c r="K39" s="399" t="s">
        <v>240</v>
      </c>
      <c r="L39" s="399" t="s">
        <v>248</v>
      </c>
      <c r="M39" s="399" t="s">
        <v>241</v>
      </c>
      <c r="N39" s="400" t="s">
        <v>238</v>
      </c>
      <c r="O39" s="390"/>
      <c r="P39" s="390"/>
      <c r="Q39" s="390"/>
      <c r="R39" s="390"/>
      <c r="S39" s="390"/>
      <c r="T39" s="391"/>
    </row>
    <row r="40" spans="1:20" x14ac:dyDescent="0.25">
      <c r="A40" s="246" t="s">
        <v>9</v>
      </c>
      <c r="B40" s="246" t="s">
        <v>67</v>
      </c>
      <c r="C40" s="246" t="str">
        <f t="shared" si="4"/>
        <v>am</v>
      </c>
      <c r="D40" s="246" t="str">
        <v>221-3 2.metoda</v>
      </c>
      <c r="E40" s="246" t="str">
        <f t="shared" si="1"/>
        <v>221-3 2.metoda</v>
      </c>
      <c r="G40" s="392" t="s">
        <v>241</v>
      </c>
      <c r="H40" s="390">
        <f ca="1">'popisné charakteristiky'!I9</f>
        <v>15.074999999999999</v>
      </c>
      <c r="I40" s="390"/>
      <c r="J40" s="390">
        <v>0.25</v>
      </c>
      <c r="K40" s="390">
        <f ca="1">H38</f>
        <v>14.83</v>
      </c>
      <c r="L40" s="390">
        <f ca="1">H39</f>
        <v>14.95</v>
      </c>
      <c r="M40" s="390">
        <f ca="1">H40</f>
        <v>15.074999999999999</v>
      </c>
      <c r="N40" s="390">
        <f ca="1">H41</f>
        <v>14.979999999999999</v>
      </c>
      <c r="O40" s="390">
        <v>0.75</v>
      </c>
      <c r="P40" s="390">
        <f ca="1">H38</f>
        <v>14.83</v>
      </c>
      <c r="Q40" s="390"/>
      <c r="R40" s="390"/>
      <c r="S40" s="390"/>
      <c r="T40" s="391"/>
    </row>
    <row r="41" spans="1:20" ht="13" thickBot="1" x14ac:dyDescent="0.3">
      <c r="A41" s="246" t="s">
        <v>9</v>
      </c>
      <c r="B41" s="246" t="s">
        <v>0</v>
      </c>
      <c r="C41" s="246" t="str">
        <f t="shared" si="4"/>
        <v>an</v>
      </c>
      <c r="D41" s="246" t="str">
        <v>222-5 směs A</v>
      </c>
      <c r="E41" s="246" t="str">
        <f t="shared" si="1"/>
        <v>222-5 směs A</v>
      </c>
      <c r="G41" s="394" t="s">
        <v>249</v>
      </c>
      <c r="H41" s="395">
        <f ca="1">'popisné charakteristiky'!B9</f>
        <v>14.979999999999999</v>
      </c>
      <c r="I41" s="395"/>
      <c r="J41" s="395">
        <v>0.75</v>
      </c>
      <c r="K41" s="395">
        <f ca="1">H38</f>
        <v>14.83</v>
      </c>
      <c r="L41" s="395">
        <f ca="1">H39</f>
        <v>14.95</v>
      </c>
      <c r="M41" s="395">
        <f ca="1">H40</f>
        <v>15.074999999999999</v>
      </c>
      <c r="N41" s="390">
        <f ca="1">H41</f>
        <v>14.979999999999999</v>
      </c>
      <c r="O41" s="395">
        <v>0.75</v>
      </c>
      <c r="P41" s="395">
        <f ca="1">H40</f>
        <v>15.074999999999999</v>
      </c>
      <c r="Q41" s="395"/>
      <c r="R41" s="395"/>
      <c r="S41" s="395"/>
      <c r="T41" s="396"/>
    </row>
    <row r="42" spans="1:20" x14ac:dyDescent="0.25">
      <c r="A42" s="246" t="s">
        <v>9</v>
      </c>
      <c r="B42" s="246" t="s">
        <v>68</v>
      </c>
      <c r="C42" s="246" t="str">
        <f t="shared" si="4"/>
        <v>ao</v>
      </c>
      <c r="D42" s="246" t="str">
        <v>222-5 směs B</v>
      </c>
      <c r="E42" s="246" t="str">
        <f t="shared" si="1"/>
        <v>222-5 směs B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x14ac:dyDescent="0.25">
      <c r="A43" s="246" t="s">
        <v>9</v>
      </c>
      <c r="B43" s="246" t="s">
        <v>69</v>
      </c>
      <c r="C43" s="246" t="str">
        <f t="shared" si="4"/>
        <v>ap</v>
      </c>
      <c r="D43" s="246" t="str">
        <v>222-6 dodavatel A</v>
      </c>
      <c r="E43" s="246" t="str">
        <f t="shared" si="1"/>
        <v>222-6 dodavatel A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x14ac:dyDescent="0.25">
      <c r="A44" s="246" t="s">
        <v>9</v>
      </c>
      <c r="B44" s="246" t="s">
        <v>70</v>
      </c>
      <c r="C44" s="246" t="str">
        <f t="shared" si="4"/>
        <v>aq</v>
      </c>
      <c r="D44" s="246" t="str">
        <v>222-6 dodavatel B</v>
      </c>
      <c r="E44" s="246" t="str">
        <f t="shared" si="1"/>
        <v>222-6 dodavatel B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x14ac:dyDescent="0.25">
      <c r="A45" s="246" t="s">
        <v>9</v>
      </c>
      <c r="B45" s="246" t="s">
        <v>71</v>
      </c>
      <c r="C45" s="246" t="str">
        <f t="shared" si="4"/>
        <v>ar</v>
      </c>
      <c r="D45" s="246" t="str">
        <v>223-8 shyby před</v>
      </c>
      <c r="E45" s="246" t="str">
        <f t="shared" si="1"/>
        <v>223-8 shyby před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x14ac:dyDescent="0.25">
      <c r="A46" s="246" t="s">
        <v>9</v>
      </c>
      <c r="B46" s="246" t="s">
        <v>72</v>
      </c>
      <c r="C46" s="246" t="str">
        <f t="shared" si="4"/>
        <v>as</v>
      </c>
      <c r="D46" s="246" t="str">
        <v>223-8 shyby po</v>
      </c>
      <c r="E46" s="246" t="str">
        <f t="shared" si="1"/>
        <v>223-8 shyby po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x14ac:dyDescent="0.25">
      <c r="A47" s="246" t="s">
        <v>9</v>
      </c>
      <c r="B47" s="246" t="s">
        <v>73</v>
      </c>
      <c r="C47" s="246" t="str">
        <f t="shared" si="4"/>
        <v>at</v>
      </c>
      <c r="D47" s="246" t="str">
        <v>223-13 německá sůl</v>
      </c>
      <c r="E47" s="246" t="str">
        <f t="shared" si="1"/>
        <v>223-13 německá sůl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x14ac:dyDescent="0.25">
      <c r="A48" s="246" t="s">
        <v>9</v>
      </c>
      <c r="B48" s="246" t="s">
        <v>74</v>
      </c>
      <c r="C48" s="246" t="str">
        <f t="shared" si="4"/>
        <v>au</v>
      </c>
      <c r="D48" s="246" t="str">
        <v>223-13 ruská sůl</v>
      </c>
      <c r="E48" s="246" t="str">
        <f t="shared" si="1"/>
        <v>223-13 ruská sůl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 x14ac:dyDescent="0.25">
      <c r="A49" s="246" t="s">
        <v>9</v>
      </c>
      <c r="B49" s="246" t="s">
        <v>75</v>
      </c>
      <c r="C49" s="246" t="str">
        <f t="shared" si="4"/>
        <v>av</v>
      </c>
      <c r="D49" s="246" t="str">
        <v>223-14 porost A</v>
      </c>
      <c r="E49" s="246" t="str">
        <f t="shared" si="1"/>
        <v>223-14 porost A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 x14ac:dyDescent="0.25">
      <c r="A50" s="246" t="s">
        <v>9</v>
      </c>
      <c r="B50" s="246" t="s">
        <v>76</v>
      </c>
      <c r="C50" s="246" t="str">
        <f t="shared" si="4"/>
        <v>aw</v>
      </c>
      <c r="D50" s="246" t="str">
        <v>223-14 porost B</v>
      </c>
      <c r="E50" s="246" t="str">
        <f t="shared" si="1"/>
        <v>223-14 porost B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 x14ac:dyDescent="0.25">
      <c r="A51" s="246" t="s">
        <v>9</v>
      </c>
      <c r="B51" s="246" t="s">
        <v>1</v>
      </c>
      <c r="C51" s="246" t="str">
        <f t="shared" si="4"/>
        <v>ax</v>
      </c>
      <c r="D51" s="246" t="str">
        <v>223-15 výškoměr A</v>
      </c>
      <c r="E51" s="246" t="str">
        <f t="shared" si="1"/>
        <v>223-15 výškoměr A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 x14ac:dyDescent="0.25">
      <c r="A52" s="246" t="s">
        <v>9</v>
      </c>
      <c r="B52" s="246" t="s">
        <v>77</v>
      </c>
      <c r="C52" s="246" t="str">
        <f t="shared" si="4"/>
        <v>ay</v>
      </c>
      <c r="D52" s="246" t="str">
        <v>223-15 výškoměr B</v>
      </c>
      <c r="E52" s="246" t="str">
        <f t="shared" si="1"/>
        <v>223-15 výškoměr B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 x14ac:dyDescent="0.25">
      <c r="A53" s="246" t="s">
        <v>9</v>
      </c>
      <c r="B53" s="246" t="s">
        <v>78</v>
      </c>
      <c r="C53" s="246" t="str">
        <f t="shared" si="4"/>
        <v>az</v>
      </c>
      <c r="D53" s="246" t="str">
        <v>videokazety</v>
      </c>
      <c r="E53" s="246" t="str">
        <f t="shared" si="1"/>
        <v>videokazety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 x14ac:dyDescent="0.25">
      <c r="A54" s="246" t="s">
        <v>58</v>
      </c>
      <c r="B54" s="246" t="s">
        <v>9</v>
      </c>
      <c r="C54" s="246" t="str">
        <f t="shared" si="4"/>
        <v>ba</v>
      </c>
      <c r="D54" s="246" t="str">
        <v>236-4 zásahy</v>
      </c>
      <c r="E54" s="246" t="str">
        <f t="shared" si="1"/>
        <v>236-4 zásahy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 x14ac:dyDescent="0.25">
      <c r="A55" s="246" t="s">
        <v>58</v>
      </c>
      <c r="B55" s="246" t="s">
        <v>58</v>
      </c>
      <c r="C55" s="246" t="str">
        <f t="shared" si="4"/>
        <v>bb</v>
      </c>
      <c r="D55" s="246" t="str">
        <v>236-5 mléko</v>
      </c>
      <c r="E55" s="246" t="str">
        <f t="shared" si="1"/>
        <v>236-5 mléko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0" x14ac:dyDescent="0.25">
      <c r="A56" s="246" t="s">
        <v>58</v>
      </c>
      <c r="B56" s="246" t="s">
        <v>59</v>
      </c>
      <c r="C56" s="246" t="str">
        <f t="shared" si="4"/>
        <v>bc</v>
      </c>
      <c r="D56" s="246" t="str">
        <v>236-8 počet aut</v>
      </c>
      <c r="E56" s="246" t="str">
        <f t="shared" si="1"/>
        <v>236-8 počet aut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0" x14ac:dyDescent="0.25">
      <c r="A57" s="246" t="s">
        <v>58</v>
      </c>
      <c r="B57" s="246" t="s">
        <v>60</v>
      </c>
      <c r="C57" s="246" t="str">
        <f t="shared" si="4"/>
        <v>bd</v>
      </c>
      <c r="D57" s="246" t="str">
        <v>236-10 vepři</v>
      </c>
      <c r="E57" s="246" t="str">
        <f t="shared" si="1"/>
        <v>236-10 vepři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0" x14ac:dyDescent="0.25">
      <c r="A58" s="246" t="s">
        <v>58</v>
      </c>
      <c r="B58" s="246" t="s">
        <v>61</v>
      </c>
      <c r="C58" s="246" t="str">
        <f t="shared" si="4"/>
        <v>be</v>
      </c>
      <c r="D58" s="246">
        <v>0</v>
      </c>
      <c r="E58" s="246" t="str">
        <f t="shared" si="1"/>
        <v/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0" x14ac:dyDescent="0.25">
      <c r="A59" s="246" t="s">
        <v>58</v>
      </c>
      <c r="B59" s="246" t="s">
        <v>62</v>
      </c>
      <c r="C59" s="246" t="str">
        <f t="shared" si="4"/>
        <v>bf</v>
      </c>
      <c r="D59" s="246">
        <v>0</v>
      </c>
      <c r="E59" s="246" t="str">
        <f t="shared" si="1"/>
        <v/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0" x14ac:dyDescent="0.25">
      <c r="A60" s="246" t="s">
        <v>58</v>
      </c>
      <c r="B60" s="246" t="s">
        <v>63</v>
      </c>
      <c r="C60" s="246" t="str">
        <f t="shared" si="4"/>
        <v>bg</v>
      </c>
      <c r="D60" s="246">
        <v>0</v>
      </c>
      <c r="E60" s="246" t="str">
        <f t="shared" si="1"/>
        <v/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0" x14ac:dyDescent="0.25">
      <c r="A61" s="246" t="s">
        <v>58</v>
      </c>
      <c r="B61" s="246" t="s">
        <v>7</v>
      </c>
      <c r="C61" s="246" t="str">
        <f t="shared" si="4"/>
        <v>bh</v>
      </c>
      <c r="D61" s="246">
        <v>0</v>
      </c>
      <c r="E61" s="246" t="str">
        <f t="shared" si="1"/>
        <v/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0" x14ac:dyDescent="0.25">
      <c r="A62" s="246" t="s">
        <v>58</v>
      </c>
      <c r="B62" s="246" t="s">
        <v>64</v>
      </c>
      <c r="C62" s="246" t="str">
        <f t="shared" si="4"/>
        <v>bi</v>
      </c>
      <c r="D62" s="246">
        <v>0</v>
      </c>
      <c r="E62" s="246" t="str">
        <f t="shared" si="1"/>
        <v/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0" x14ac:dyDescent="0.25">
      <c r="A63" s="246" t="s">
        <v>58</v>
      </c>
      <c r="B63" s="246" t="s">
        <v>65</v>
      </c>
      <c r="C63" s="246" t="str">
        <f t="shared" si="4"/>
        <v>bj</v>
      </c>
      <c r="D63" s="246">
        <v>0</v>
      </c>
      <c r="E63" s="246" t="str">
        <f t="shared" si="1"/>
        <v/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0" x14ac:dyDescent="0.25">
      <c r="A64" s="246" t="s">
        <v>58</v>
      </c>
      <c r="B64" s="246" t="s">
        <v>6</v>
      </c>
      <c r="C64" s="246" t="str">
        <f t="shared" si="4"/>
        <v>bk</v>
      </c>
      <c r="D64" s="246">
        <v>0</v>
      </c>
      <c r="E64" s="246" t="str">
        <f t="shared" si="1"/>
        <v/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1:20" x14ac:dyDescent="0.25">
      <c r="A65" s="246" t="s">
        <v>58</v>
      </c>
      <c r="B65" s="246" t="s">
        <v>66</v>
      </c>
      <c r="C65" s="246" t="str">
        <f t="shared" si="4"/>
        <v>bl</v>
      </c>
      <c r="D65" s="246">
        <v>0</v>
      </c>
      <c r="E65" s="246" t="str">
        <f t="shared" si="1"/>
        <v/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1:20" x14ac:dyDescent="0.25">
      <c r="A66" s="246" t="s">
        <v>58</v>
      </c>
      <c r="B66" s="246" t="s">
        <v>67</v>
      </c>
      <c r="C66" s="246" t="str">
        <f t="shared" si="4"/>
        <v>bm</v>
      </c>
      <c r="D66" s="246">
        <v>0</v>
      </c>
      <c r="E66" s="246" t="str">
        <f t="shared" si="1"/>
        <v/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 x14ac:dyDescent="0.25">
      <c r="A67" s="246" t="s">
        <v>58</v>
      </c>
      <c r="B67" s="246" t="s">
        <v>0</v>
      </c>
      <c r="C67" s="246" t="str">
        <f t="shared" si="4"/>
        <v>bn</v>
      </c>
      <c r="D67" s="246">
        <v>0</v>
      </c>
      <c r="E67" s="246" t="str">
        <f t="shared" ref="E67:E130" si="5">IF(D67=0,"",D67)</f>
        <v/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1:20" x14ac:dyDescent="0.25">
      <c r="A68" s="246" t="s">
        <v>58</v>
      </c>
      <c r="B68" s="246" t="s">
        <v>68</v>
      </c>
      <c r="C68" s="246" t="str">
        <f t="shared" si="4"/>
        <v>bo</v>
      </c>
      <c r="D68" s="246">
        <v>0</v>
      </c>
      <c r="E68" s="246" t="str">
        <f t="shared" si="5"/>
        <v/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1:20" x14ac:dyDescent="0.25">
      <c r="A69" s="246" t="s">
        <v>58</v>
      </c>
      <c r="B69" s="246" t="s">
        <v>69</v>
      </c>
      <c r="C69" s="246" t="str">
        <f t="shared" si="4"/>
        <v>bp</v>
      </c>
      <c r="D69" s="246">
        <v>0</v>
      </c>
      <c r="E69" s="246" t="str">
        <f t="shared" si="5"/>
        <v/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1:20" x14ac:dyDescent="0.25">
      <c r="A70" s="246" t="s">
        <v>58</v>
      </c>
      <c r="B70" s="246" t="s">
        <v>70</v>
      </c>
      <c r="C70" s="246" t="str">
        <f t="shared" si="4"/>
        <v>bq</v>
      </c>
      <c r="D70" s="246">
        <v>0</v>
      </c>
      <c r="E70" s="246" t="str">
        <f t="shared" si="5"/>
        <v/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1:20" x14ac:dyDescent="0.25">
      <c r="A71" s="246" t="s">
        <v>58</v>
      </c>
      <c r="B71" s="246" t="s">
        <v>71</v>
      </c>
      <c r="C71" s="246" t="str">
        <f t="shared" si="4"/>
        <v>br</v>
      </c>
      <c r="D71" s="246">
        <v>0</v>
      </c>
      <c r="E71" s="246" t="str">
        <f t="shared" si="5"/>
        <v/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20" x14ac:dyDescent="0.25">
      <c r="A72" s="246" t="s">
        <v>58</v>
      </c>
      <c r="B72" s="246" t="s">
        <v>72</v>
      </c>
      <c r="C72" s="246" t="str">
        <f t="shared" si="4"/>
        <v>bs</v>
      </c>
      <c r="D72" s="246">
        <v>0</v>
      </c>
      <c r="E72" s="246" t="str">
        <f t="shared" si="5"/>
        <v/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1:20" x14ac:dyDescent="0.25">
      <c r="A73" s="246" t="s">
        <v>58</v>
      </c>
      <c r="B73" s="246" t="s">
        <v>73</v>
      </c>
      <c r="C73" s="246" t="str">
        <f t="shared" si="4"/>
        <v>bt</v>
      </c>
      <c r="D73" s="246">
        <v>0</v>
      </c>
      <c r="E73" s="246" t="str">
        <f t="shared" si="5"/>
        <v/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20" x14ac:dyDescent="0.25">
      <c r="A74" s="246" t="s">
        <v>58</v>
      </c>
      <c r="B74" s="246" t="s">
        <v>74</v>
      </c>
      <c r="C74" s="246" t="str">
        <f t="shared" si="4"/>
        <v>bu</v>
      </c>
      <c r="D74" s="246">
        <v>0</v>
      </c>
      <c r="E74" s="246" t="str">
        <f t="shared" si="5"/>
        <v/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20" x14ac:dyDescent="0.25">
      <c r="A75" s="246" t="s">
        <v>58</v>
      </c>
      <c r="B75" s="246" t="s">
        <v>75</v>
      </c>
      <c r="C75" s="246" t="str">
        <f t="shared" si="4"/>
        <v>bv</v>
      </c>
      <c r="D75" s="246">
        <v>0</v>
      </c>
      <c r="E75" s="246" t="str">
        <f t="shared" si="5"/>
        <v/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1:20" x14ac:dyDescent="0.25">
      <c r="A76" s="246" t="s">
        <v>58</v>
      </c>
      <c r="B76" s="246" t="s">
        <v>76</v>
      </c>
      <c r="C76" s="246" t="str">
        <f t="shared" si="4"/>
        <v>bw</v>
      </c>
      <c r="D76" s="246">
        <v>0</v>
      </c>
      <c r="E76" s="246" t="str">
        <f t="shared" si="5"/>
        <v/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1:20" x14ac:dyDescent="0.25">
      <c r="A77" s="246" t="s">
        <v>58</v>
      </c>
      <c r="B77" s="246" t="s">
        <v>1</v>
      </c>
      <c r="C77" s="246" t="str">
        <f t="shared" si="4"/>
        <v>bx</v>
      </c>
      <c r="D77" s="246">
        <v>0</v>
      </c>
      <c r="E77" s="246" t="str">
        <f t="shared" si="5"/>
        <v/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1:20" x14ac:dyDescent="0.25">
      <c r="A78" s="246" t="s">
        <v>58</v>
      </c>
      <c r="B78" s="246" t="s">
        <v>77</v>
      </c>
      <c r="C78" s="246" t="str">
        <f t="shared" si="4"/>
        <v>by</v>
      </c>
      <c r="D78" s="246">
        <v>0</v>
      </c>
      <c r="E78" s="246" t="str">
        <f t="shared" si="5"/>
        <v/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1:20" x14ac:dyDescent="0.25">
      <c r="A79" s="246" t="s">
        <v>58</v>
      </c>
      <c r="B79" s="246" t="s">
        <v>78</v>
      </c>
      <c r="C79" s="246" t="str">
        <f t="shared" si="4"/>
        <v>bz</v>
      </c>
      <c r="D79" s="246">
        <v>0</v>
      </c>
      <c r="E79" s="246" t="str">
        <f t="shared" si="5"/>
        <v/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1:20" x14ac:dyDescent="0.25">
      <c r="A80" s="246" t="s">
        <v>59</v>
      </c>
      <c r="B80" s="246" t="s">
        <v>9</v>
      </c>
      <c r="C80" s="246" t="str">
        <f t="shared" si="4"/>
        <v>ca</v>
      </c>
      <c r="D80" s="246">
        <v>0</v>
      </c>
      <c r="E80" s="246" t="str">
        <f t="shared" si="5"/>
        <v/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 x14ac:dyDescent="0.25">
      <c r="A81" s="246" t="s">
        <v>59</v>
      </c>
      <c r="B81" s="246" t="s">
        <v>58</v>
      </c>
      <c r="C81" s="246" t="str">
        <f t="shared" si="4"/>
        <v>cb</v>
      </c>
      <c r="D81" s="246">
        <v>0</v>
      </c>
      <c r="E81" s="246" t="str">
        <f t="shared" si="5"/>
        <v/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 x14ac:dyDescent="0.25">
      <c r="A82" s="246" t="s">
        <v>59</v>
      </c>
      <c r="B82" s="246" t="s">
        <v>59</v>
      </c>
      <c r="C82" s="246" t="str">
        <f t="shared" si="4"/>
        <v>cc</v>
      </c>
      <c r="D82" s="246">
        <v>0</v>
      </c>
      <c r="E82" s="246" t="str">
        <f t="shared" si="5"/>
        <v/>
      </c>
    </row>
    <row r="83" spans="1:20" x14ac:dyDescent="0.25">
      <c r="A83" s="246" t="s">
        <v>59</v>
      </c>
      <c r="B83" s="246" t="s">
        <v>60</v>
      </c>
      <c r="C83" s="246" t="str">
        <f t="shared" si="4"/>
        <v>cd</v>
      </c>
      <c r="D83" s="246">
        <v>0</v>
      </c>
      <c r="E83" s="246" t="str">
        <f t="shared" si="5"/>
        <v/>
      </c>
    </row>
    <row r="84" spans="1:20" x14ac:dyDescent="0.25">
      <c r="A84" s="246" t="s">
        <v>59</v>
      </c>
      <c r="B84" s="246" t="s">
        <v>61</v>
      </c>
      <c r="C84" s="246" t="str">
        <f t="shared" si="4"/>
        <v>ce</v>
      </c>
      <c r="D84" s="246">
        <v>0</v>
      </c>
      <c r="E84" s="246" t="str">
        <f t="shared" si="5"/>
        <v/>
      </c>
    </row>
    <row r="85" spans="1:20" x14ac:dyDescent="0.25">
      <c r="A85" s="246" t="s">
        <v>59</v>
      </c>
      <c r="B85" s="246" t="s">
        <v>62</v>
      </c>
      <c r="C85" s="246" t="str">
        <f t="shared" si="4"/>
        <v>cf</v>
      </c>
      <c r="D85" s="246">
        <v>0</v>
      </c>
      <c r="E85" s="246" t="str">
        <f t="shared" si="5"/>
        <v/>
      </c>
    </row>
    <row r="86" spans="1:20" x14ac:dyDescent="0.25">
      <c r="A86" s="246" t="s">
        <v>59</v>
      </c>
      <c r="B86" s="246" t="s">
        <v>63</v>
      </c>
      <c r="C86" s="246" t="str">
        <f t="shared" si="4"/>
        <v>cg</v>
      </c>
      <c r="D86" s="246">
        <v>0</v>
      </c>
      <c r="E86" s="246" t="str">
        <f t="shared" si="5"/>
        <v/>
      </c>
    </row>
    <row r="87" spans="1:20" x14ac:dyDescent="0.25">
      <c r="A87" s="246" t="s">
        <v>59</v>
      </c>
      <c r="B87" s="246" t="s">
        <v>7</v>
      </c>
      <c r="C87" s="246" t="str">
        <f t="shared" si="4"/>
        <v>ch</v>
      </c>
      <c r="D87" s="246">
        <v>0</v>
      </c>
      <c r="E87" s="246" t="str">
        <f t="shared" si="5"/>
        <v/>
      </c>
    </row>
    <row r="88" spans="1:20" x14ac:dyDescent="0.25">
      <c r="A88" s="246" t="s">
        <v>59</v>
      </c>
      <c r="B88" s="246" t="s">
        <v>64</v>
      </c>
      <c r="C88" s="246" t="str">
        <f t="shared" si="4"/>
        <v>ci</v>
      </c>
      <c r="D88" s="246">
        <v>0</v>
      </c>
      <c r="E88" s="246" t="str">
        <f t="shared" si="5"/>
        <v/>
      </c>
    </row>
    <row r="89" spans="1:20" x14ac:dyDescent="0.25">
      <c r="A89" s="246" t="s">
        <v>59</v>
      </c>
      <c r="B89" s="246" t="s">
        <v>65</v>
      </c>
      <c r="C89" s="246" t="str">
        <f t="shared" si="4"/>
        <v>cj</v>
      </c>
      <c r="D89" s="246">
        <v>0</v>
      </c>
      <c r="E89" s="246" t="str">
        <f t="shared" si="5"/>
        <v/>
      </c>
    </row>
    <row r="90" spans="1:20" x14ac:dyDescent="0.25">
      <c r="A90" s="246" t="s">
        <v>59</v>
      </c>
      <c r="B90" s="246" t="s">
        <v>6</v>
      </c>
      <c r="C90" s="246" t="str">
        <f t="shared" si="4"/>
        <v>ck</v>
      </c>
      <c r="D90" s="246">
        <v>0</v>
      </c>
      <c r="E90" s="246" t="str">
        <f t="shared" si="5"/>
        <v/>
      </c>
    </row>
    <row r="91" spans="1:20" x14ac:dyDescent="0.25">
      <c r="A91" s="246" t="s">
        <v>59</v>
      </c>
      <c r="B91" s="246" t="s">
        <v>66</v>
      </c>
      <c r="C91" s="246" t="str">
        <f t="shared" si="4"/>
        <v>cl</v>
      </c>
      <c r="D91" s="246">
        <v>0</v>
      </c>
      <c r="E91" s="246" t="str">
        <f t="shared" si="5"/>
        <v/>
      </c>
    </row>
    <row r="92" spans="1:20" x14ac:dyDescent="0.25">
      <c r="A92" s="246" t="s">
        <v>59</v>
      </c>
      <c r="B92" s="246" t="s">
        <v>67</v>
      </c>
      <c r="C92" s="246" t="str">
        <f t="shared" si="4"/>
        <v>cm</v>
      </c>
      <c r="D92" s="246">
        <v>0</v>
      </c>
      <c r="E92" s="246" t="str">
        <f t="shared" si="5"/>
        <v/>
      </c>
    </row>
    <row r="93" spans="1:20" x14ac:dyDescent="0.25">
      <c r="A93" s="246" t="s">
        <v>59</v>
      </c>
      <c r="B93" s="246" t="s">
        <v>0</v>
      </c>
      <c r="C93" s="246" t="str">
        <f t="shared" ref="C93:C156" si="6">A93&amp;B93</f>
        <v>cn</v>
      </c>
      <c r="D93" s="246">
        <v>0</v>
      </c>
      <c r="E93" s="246" t="str">
        <f t="shared" si="5"/>
        <v/>
      </c>
    </row>
    <row r="94" spans="1:20" x14ac:dyDescent="0.25">
      <c r="A94" s="246" t="s">
        <v>59</v>
      </c>
      <c r="B94" s="246" t="s">
        <v>68</v>
      </c>
      <c r="C94" s="246" t="str">
        <f t="shared" si="6"/>
        <v>co</v>
      </c>
      <c r="D94" s="246">
        <v>0</v>
      </c>
      <c r="E94" s="246" t="str">
        <f t="shared" si="5"/>
        <v/>
      </c>
    </row>
    <row r="95" spans="1:20" x14ac:dyDescent="0.25">
      <c r="A95" s="246" t="s">
        <v>59</v>
      </c>
      <c r="B95" s="246" t="s">
        <v>69</v>
      </c>
      <c r="C95" s="246" t="str">
        <f t="shared" si="6"/>
        <v>cp</v>
      </c>
      <c r="D95" s="246">
        <v>0</v>
      </c>
      <c r="E95" s="246" t="str">
        <f t="shared" si="5"/>
        <v/>
      </c>
    </row>
    <row r="96" spans="1:20" x14ac:dyDescent="0.25">
      <c r="A96" s="246" t="s">
        <v>59</v>
      </c>
      <c r="B96" s="246" t="s">
        <v>70</v>
      </c>
      <c r="C96" s="246" t="str">
        <f t="shared" si="6"/>
        <v>cq</v>
      </c>
      <c r="D96" s="246">
        <v>0</v>
      </c>
      <c r="E96" s="246" t="str">
        <f t="shared" si="5"/>
        <v/>
      </c>
    </row>
    <row r="97" spans="1:5" x14ac:dyDescent="0.25">
      <c r="A97" s="246" t="s">
        <v>59</v>
      </c>
      <c r="B97" s="246" t="s">
        <v>71</v>
      </c>
      <c r="C97" s="246" t="str">
        <f t="shared" si="6"/>
        <v>cr</v>
      </c>
      <c r="D97" s="246">
        <v>0</v>
      </c>
      <c r="E97" s="246" t="str">
        <f t="shared" si="5"/>
        <v/>
      </c>
    </row>
    <row r="98" spans="1:5" x14ac:dyDescent="0.25">
      <c r="A98" s="246" t="s">
        <v>59</v>
      </c>
      <c r="B98" s="246" t="s">
        <v>72</v>
      </c>
      <c r="C98" s="246" t="str">
        <f t="shared" si="6"/>
        <v>cs</v>
      </c>
      <c r="D98" s="246">
        <v>0</v>
      </c>
      <c r="E98" s="246" t="str">
        <f t="shared" si="5"/>
        <v/>
      </c>
    </row>
    <row r="99" spans="1:5" x14ac:dyDescent="0.25">
      <c r="A99" s="246" t="s">
        <v>59</v>
      </c>
      <c r="B99" s="246" t="s">
        <v>73</v>
      </c>
      <c r="C99" s="246" t="str">
        <f t="shared" si="6"/>
        <v>ct</v>
      </c>
      <c r="D99" s="246">
        <v>0</v>
      </c>
      <c r="E99" s="246" t="str">
        <f t="shared" si="5"/>
        <v/>
      </c>
    </row>
    <row r="100" spans="1:5" x14ac:dyDescent="0.25">
      <c r="A100" s="246" t="s">
        <v>59</v>
      </c>
      <c r="B100" s="246" t="s">
        <v>74</v>
      </c>
      <c r="C100" s="246" t="str">
        <f t="shared" si="6"/>
        <v>cu</v>
      </c>
      <c r="D100" s="246">
        <v>0</v>
      </c>
      <c r="E100" s="246" t="str">
        <f t="shared" si="5"/>
        <v/>
      </c>
    </row>
    <row r="101" spans="1:5" x14ac:dyDescent="0.25">
      <c r="A101" s="246" t="s">
        <v>59</v>
      </c>
      <c r="B101" s="246" t="s">
        <v>75</v>
      </c>
      <c r="C101" s="246" t="str">
        <f t="shared" si="6"/>
        <v>cv</v>
      </c>
      <c r="D101" s="246">
        <v>0</v>
      </c>
      <c r="E101" s="246" t="str">
        <f t="shared" si="5"/>
        <v/>
      </c>
    </row>
    <row r="102" spans="1:5" x14ac:dyDescent="0.25">
      <c r="A102" s="246" t="s">
        <v>59</v>
      </c>
      <c r="B102" s="246" t="s">
        <v>76</v>
      </c>
      <c r="C102" s="246" t="str">
        <f t="shared" si="6"/>
        <v>cw</v>
      </c>
      <c r="D102" s="246">
        <v>0</v>
      </c>
      <c r="E102" s="246" t="str">
        <f t="shared" si="5"/>
        <v/>
      </c>
    </row>
    <row r="103" spans="1:5" x14ac:dyDescent="0.25">
      <c r="A103" s="246" t="s">
        <v>59</v>
      </c>
      <c r="B103" s="246" t="s">
        <v>1</v>
      </c>
      <c r="C103" s="246" t="str">
        <f t="shared" si="6"/>
        <v>cx</v>
      </c>
      <c r="D103" s="246">
        <v>0</v>
      </c>
      <c r="E103" s="246" t="str">
        <f t="shared" si="5"/>
        <v/>
      </c>
    </row>
    <row r="104" spans="1:5" x14ac:dyDescent="0.25">
      <c r="A104" s="246" t="s">
        <v>59</v>
      </c>
      <c r="B104" s="246" t="s">
        <v>77</v>
      </c>
      <c r="C104" s="246" t="str">
        <f t="shared" si="6"/>
        <v>cy</v>
      </c>
      <c r="D104" s="246">
        <v>0</v>
      </c>
      <c r="E104" s="246" t="str">
        <f t="shared" si="5"/>
        <v/>
      </c>
    </row>
    <row r="105" spans="1:5" x14ac:dyDescent="0.25">
      <c r="A105" s="246" t="s">
        <v>59</v>
      </c>
      <c r="B105" s="246" t="s">
        <v>78</v>
      </c>
      <c r="C105" s="246" t="str">
        <f t="shared" si="6"/>
        <v>cz</v>
      </c>
      <c r="D105" s="246">
        <v>0</v>
      </c>
      <c r="E105" s="246" t="str">
        <f t="shared" si="5"/>
        <v/>
      </c>
    </row>
    <row r="106" spans="1:5" x14ac:dyDescent="0.25">
      <c r="A106" s="246" t="s">
        <v>60</v>
      </c>
      <c r="B106" s="246" t="s">
        <v>9</v>
      </c>
      <c r="C106" s="246" t="str">
        <f t="shared" si="6"/>
        <v>da</v>
      </c>
      <c r="D106" s="246">
        <v>0</v>
      </c>
      <c r="E106" s="246" t="str">
        <f t="shared" si="5"/>
        <v/>
      </c>
    </row>
    <row r="107" spans="1:5" x14ac:dyDescent="0.25">
      <c r="A107" s="246" t="s">
        <v>60</v>
      </c>
      <c r="B107" s="246" t="s">
        <v>58</v>
      </c>
      <c r="C107" s="246" t="str">
        <f t="shared" si="6"/>
        <v>db</v>
      </c>
      <c r="D107" s="246">
        <v>0</v>
      </c>
      <c r="E107" s="246" t="str">
        <f t="shared" si="5"/>
        <v/>
      </c>
    </row>
    <row r="108" spans="1:5" x14ac:dyDescent="0.25">
      <c r="A108" s="246" t="s">
        <v>60</v>
      </c>
      <c r="B108" s="246" t="s">
        <v>59</v>
      </c>
      <c r="C108" s="246" t="str">
        <f t="shared" si="6"/>
        <v>dc</v>
      </c>
      <c r="D108" s="246">
        <v>0</v>
      </c>
      <c r="E108" s="246" t="str">
        <f t="shared" si="5"/>
        <v/>
      </c>
    </row>
    <row r="109" spans="1:5" x14ac:dyDescent="0.25">
      <c r="A109" s="246" t="s">
        <v>60</v>
      </c>
      <c r="B109" s="246" t="s">
        <v>60</v>
      </c>
      <c r="C109" s="246" t="str">
        <f t="shared" si="6"/>
        <v>dd</v>
      </c>
      <c r="D109" s="246">
        <v>0</v>
      </c>
      <c r="E109" s="246" t="str">
        <f t="shared" si="5"/>
        <v/>
      </c>
    </row>
    <row r="110" spans="1:5" x14ac:dyDescent="0.25">
      <c r="A110" s="246" t="s">
        <v>60</v>
      </c>
      <c r="B110" s="246" t="s">
        <v>61</v>
      </c>
      <c r="C110" s="246" t="str">
        <f t="shared" si="6"/>
        <v>de</v>
      </c>
      <c r="D110" s="246">
        <v>0</v>
      </c>
      <c r="E110" s="246" t="str">
        <f t="shared" si="5"/>
        <v/>
      </c>
    </row>
    <row r="111" spans="1:5" x14ac:dyDescent="0.25">
      <c r="A111" s="246" t="s">
        <v>60</v>
      </c>
      <c r="B111" s="246" t="s">
        <v>62</v>
      </c>
      <c r="C111" s="246" t="str">
        <f t="shared" si="6"/>
        <v>df</v>
      </c>
      <c r="D111" s="246">
        <v>0</v>
      </c>
      <c r="E111" s="246" t="str">
        <f t="shared" si="5"/>
        <v/>
      </c>
    </row>
    <row r="112" spans="1:5" x14ac:dyDescent="0.25">
      <c r="A112" s="246" t="s">
        <v>60</v>
      </c>
      <c r="B112" s="246" t="s">
        <v>63</v>
      </c>
      <c r="C112" s="246" t="str">
        <f t="shared" si="6"/>
        <v>dg</v>
      </c>
      <c r="D112" s="246">
        <v>0</v>
      </c>
      <c r="E112" s="246" t="str">
        <f t="shared" si="5"/>
        <v/>
      </c>
    </row>
    <row r="113" spans="1:5" x14ac:dyDescent="0.25">
      <c r="A113" s="246" t="s">
        <v>60</v>
      </c>
      <c r="B113" s="246" t="s">
        <v>7</v>
      </c>
      <c r="C113" s="246" t="str">
        <f t="shared" si="6"/>
        <v>dh</v>
      </c>
      <c r="D113" s="246">
        <v>0</v>
      </c>
      <c r="E113" s="246" t="str">
        <f t="shared" si="5"/>
        <v/>
      </c>
    </row>
    <row r="114" spans="1:5" x14ac:dyDescent="0.25">
      <c r="A114" s="246" t="s">
        <v>60</v>
      </c>
      <c r="B114" s="246" t="s">
        <v>64</v>
      </c>
      <c r="C114" s="246" t="str">
        <f t="shared" si="6"/>
        <v>di</v>
      </c>
      <c r="D114" s="246">
        <v>0</v>
      </c>
      <c r="E114" s="246" t="str">
        <f t="shared" si="5"/>
        <v/>
      </c>
    </row>
    <row r="115" spans="1:5" x14ac:dyDescent="0.25">
      <c r="A115" s="246" t="s">
        <v>60</v>
      </c>
      <c r="B115" s="246" t="s">
        <v>65</v>
      </c>
      <c r="C115" s="246" t="str">
        <f t="shared" si="6"/>
        <v>dj</v>
      </c>
      <c r="D115" s="246">
        <v>0</v>
      </c>
      <c r="E115" s="246" t="str">
        <f t="shared" si="5"/>
        <v/>
      </c>
    </row>
    <row r="116" spans="1:5" x14ac:dyDescent="0.25">
      <c r="A116" s="246" t="s">
        <v>60</v>
      </c>
      <c r="B116" s="246" t="s">
        <v>6</v>
      </c>
      <c r="C116" s="246" t="str">
        <f t="shared" si="6"/>
        <v>dk</v>
      </c>
      <c r="D116" s="246">
        <v>0</v>
      </c>
      <c r="E116" s="246" t="str">
        <f t="shared" si="5"/>
        <v/>
      </c>
    </row>
    <row r="117" spans="1:5" x14ac:dyDescent="0.25">
      <c r="A117" s="246" t="s">
        <v>60</v>
      </c>
      <c r="B117" s="246" t="s">
        <v>66</v>
      </c>
      <c r="C117" s="246" t="str">
        <f t="shared" si="6"/>
        <v>dl</v>
      </c>
      <c r="D117" s="246">
        <v>0</v>
      </c>
      <c r="E117" s="246" t="str">
        <f t="shared" si="5"/>
        <v/>
      </c>
    </row>
    <row r="118" spans="1:5" x14ac:dyDescent="0.25">
      <c r="A118" s="246" t="s">
        <v>60</v>
      </c>
      <c r="B118" s="246" t="s">
        <v>67</v>
      </c>
      <c r="C118" s="246" t="str">
        <f t="shared" si="6"/>
        <v>dm</v>
      </c>
      <c r="D118" s="246">
        <v>0</v>
      </c>
      <c r="E118" s="246" t="str">
        <f t="shared" si="5"/>
        <v/>
      </c>
    </row>
    <row r="119" spans="1:5" x14ac:dyDescent="0.25">
      <c r="A119" s="246" t="s">
        <v>60</v>
      </c>
      <c r="B119" s="246" t="s">
        <v>0</v>
      </c>
      <c r="C119" s="246" t="str">
        <f t="shared" si="6"/>
        <v>dn</v>
      </c>
      <c r="D119" s="246">
        <v>0</v>
      </c>
      <c r="E119" s="246" t="str">
        <f t="shared" si="5"/>
        <v/>
      </c>
    </row>
    <row r="120" spans="1:5" x14ac:dyDescent="0.25">
      <c r="A120" s="246" t="s">
        <v>60</v>
      </c>
      <c r="B120" s="246" t="s">
        <v>68</v>
      </c>
      <c r="C120" s="246" t="str">
        <f t="shared" si="6"/>
        <v>do</v>
      </c>
      <c r="D120" s="246">
        <v>0</v>
      </c>
      <c r="E120" s="246" t="str">
        <f t="shared" si="5"/>
        <v/>
      </c>
    </row>
    <row r="121" spans="1:5" x14ac:dyDescent="0.25">
      <c r="A121" s="246" t="s">
        <v>60</v>
      </c>
      <c r="B121" s="246" t="s">
        <v>69</v>
      </c>
      <c r="C121" s="246" t="str">
        <f t="shared" si="6"/>
        <v>dp</v>
      </c>
      <c r="D121" s="246">
        <v>0</v>
      </c>
      <c r="E121" s="246" t="str">
        <f t="shared" si="5"/>
        <v/>
      </c>
    </row>
    <row r="122" spans="1:5" x14ac:dyDescent="0.25">
      <c r="A122" s="246" t="s">
        <v>60</v>
      </c>
      <c r="B122" s="246" t="s">
        <v>70</v>
      </c>
      <c r="C122" s="246" t="str">
        <f t="shared" si="6"/>
        <v>dq</v>
      </c>
      <c r="D122" s="246">
        <v>0</v>
      </c>
      <c r="E122" s="246" t="str">
        <f t="shared" si="5"/>
        <v/>
      </c>
    </row>
    <row r="123" spans="1:5" x14ac:dyDescent="0.25">
      <c r="A123" s="246" t="s">
        <v>60</v>
      </c>
      <c r="B123" s="246" t="s">
        <v>71</v>
      </c>
      <c r="C123" s="246" t="str">
        <f t="shared" si="6"/>
        <v>dr</v>
      </c>
      <c r="D123" s="246">
        <v>0</v>
      </c>
      <c r="E123" s="246" t="str">
        <f t="shared" si="5"/>
        <v/>
      </c>
    </row>
    <row r="124" spans="1:5" x14ac:dyDescent="0.25">
      <c r="A124" s="246" t="s">
        <v>60</v>
      </c>
      <c r="B124" s="246" t="s">
        <v>72</v>
      </c>
      <c r="C124" s="246" t="str">
        <f t="shared" si="6"/>
        <v>ds</v>
      </c>
      <c r="D124" s="246">
        <v>0</v>
      </c>
      <c r="E124" s="246" t="str">
        <f t="shared" si="5"/>
        <v/>
      </c>
    </row>
    <row r="125" spans="1:5" x14ac:dyDescent="0.25">
      <c r="A125" s="246" t="s">
        <v>60</v>
      </c>
      <c r="B125" s="246" t="s">
        <v>73</v>
      </c>
      <c r="C125" s="246" t="str">
        <f t="shared" si="6"/>
        <v>dt</v>
      </c>
      <c r="D125" s="246">
        <v>0</v>
      </c>
      <c r="E125" s="246" t="str">
        <f t="shared" si="5"/>
        <v/>
      </c>
    </row>
    <row r="126" spans="1:5" x14ac:dyDescent="0.25">
      <c r="A126" s="246" t="s">
        <v>60</v>
      </c>
      <c r="B126" s="246" t="s">
        <v>74</v>
      </c>
      <c r="C126" s="246" t="str">
        <f t="shared" si="6"/>
        <v>du</v>
      </c>
      <c r="D126" s="246">
        <v>0</v>
      </c>
      <c r="E126" s="246" t="str">
        <f t="shared" si="5"/>
        <v/>
      </c>
    </row>
    <row r="127" spans="1:5" x14ac:dyDescent="0.25">
      <c r="A127" s="246" t="s">
        <v>60</v>
      </c>
      <c r="B127" s="246" t="s">
        <v>75</v>
      </c>
      <c r="C127" s="246" t="str">
        <f t="shared" si="6"/>
        <v>dv</v>
      </c>
      <c r="D127" s="246">
        <v>0</v>
      </c>
      <c r="E127" s="246" t="str">
        <f t="shared" si="5"/>
        <v/>
      </c>
    </row>
    <row r="128" spans="1:5" x14ac:dyDescent="0.25">
      <c r="A128" s="246" t="s">
        <v>60</v>
      </c>
      <c r="B128" s="246" t="s">
        <v>76</v>
      </c>
      <c r="C128" s="246" t="str">
        <f t="shared" si="6"/>
        <v>dw</v>
      </c>
      <c r="D128" s="246">
        <v>0</v>
      </c>
      <c r="E128" s="246" t="str">
        <f t="shared" si="5"/>
        <v/>
      </c>
    </row>
    <row r="129" spans="1:5" x14ac:dyDescent="0.25">
      <c r="A129" s="246" t="s">
        <v>60</v>
      </c>
      <c r="B129" s="246" t="s">
        <v>1</v>
      </c>
      <c r="C129" s="246" t="str">
        <f t="shared" si="6"/>
        <v>dx</v>
      </c>
      <c r="D129" s="246">
        <v>0</v>
      </c>
      <c r="E129" s="246" t="str">
        <f t="shared" si="5"/>
        <v/>
      </c>
    </row>
    <row r="130" spans="1:5" x14ac:dyDescent="0.25">
      <c r="A130" s="246" t="s">
        <v>60</v>
      </c>
      <c r="B130" s="246" t="s">
        <v>77</v>
      </c>
      <c r="C130" s="246" t="str">
        <f t="shared" si="6"/>
        <v>dy</v>
      </c>
      <c r="D130" s="246">
        <v>0</v>
      </c>
      <c r="E130" s="246" t="str">
        <f t="shared" si="5"/>
        <v/>
      </c>
    </row>
    <row r="131" spans="1:5" x14ac:dyDescent="0.25">
      <c r="A131" s="246" t="s">
        <v>60</v>
      </c>
      <c r="B131" s="246" t="s">
        <v>78</v>
      </c>
      <c r="C131" s="246" t="str">
        <f t="shared" si="6"/>
        <v>dz</v>
      </c>
      <c r="D131" s="246">
        <v>0</v>
      </c>
      <c r="E131" s="246" t="str">
        <f t="shared" ref="E131:E194" si="7">IF(D131=0,"",D131)</f>
        <v/>
      </c>
    </row>
    <row r="132" spans="1:5" x14ac:dyDescent="0.25">
      <c r="A132" s="246" t="s">
        <v>61</v>
      </c>
      <c r="B132" s="246" t="s">
        <v>9</v>
      </c>
      <c r="C132" s="246" t="str">
        <f t="shared" si="6"/>
        <v>ea</v>
      </c>
      <c r="D132" s="246">
        <v>0</v>
      </c>
      <c r="E132" s="246" t="str">
        <f t="shared" si="7"/>
        <v/>
      </c>
    </row>
    <row r="133" spans="1:5" x14ac:dyDescent="0.25">
      <c r="A133" s="246" t="s">
        <v>61</v>
      </c>
      <c r="B133" s="246" t="s">
        <v>58</v>
      </c>
      <c r="C133" s="246" t="str">
        <f t="shared" si="6"/>
        <v>eb</v>
      </c>
      <c r="D133" s="246">
        <v>0</v>
      </c>
      <c r="E133" s="246" t="str">
        <f t="shared" si="7"/>
        <v/>
      </c>
    </row>
    <row r="134" spans="1:5" x14ac:dyDescent="0.25">
      <c r="A134" s="246" t="s">
        <v>61</v>
      </c>
      <c r="B134" s="246" t="s">
        <v>59</v>
      </c>
      <c r="C134" s="246" t="str">
        <f t="shared" si="6"/>
        <v>ec</v>
      </c>
      <c r="D134" s="246">
        <v>0</v>
      </c>
      <c r="E134" s="246" t="str">
        <f t="shared" si="7"/>
        <v/>
      </c>
    </row>
    <row r="135" spans="1:5" x14ac:dyDescent="0.25">
      <c r="A135" s="246" t="s">
        <v>61</v>
      </c>
      <c r="B135" s="246" t="s">
        <v>60</v>
      </c>
      <c r="C135" s="246" t="str">
        <f t="shared" si="6"/>
        <v>ed</v>
      </c>
      <c r="D135" s="246">
        <v>0</v>
      </c>
      <c r="E135" s="246" t="str">
        <f t="shared" si="7"/>
        <v/>
      </c>
    </row>
    <row r="136" spans="1:5" x14ac:dyDescent="0.25">
      <c r="A136" s="246" t="s">
        <v>61</v>
      </c>
      <c r="B136" s="246" t="s">
        <v>61</v>
      </c>
      <c r="C136" s="246" t="str">
        <f t="shared" si="6"/>
        <v>ee</v>
      </c>
      <c r="D136" s="246">
        <v>0</v>
      </c>
      <c r="E136" s="246" t="str">
        <f t="shared" si="7"/>
        <v/>
      </c>
    </row>
    <row r="137" spans="1:5" x14ac:dyDescent="0.25">
      <c r="A137" s="246" t="s">
        <v>61</v>
      </c>
      <c r="B137" s="246" t="s">
        <v>62</v>
      </c>
      <c r="C137" s="246" t="str">
        <f t="shared" si="6"/>
        <v>ef</v>
      </c>
      <c r="D137" s="246">
        <v>0</v>
      </c>
      <c r="E137" s="246" t="str">
        <f t="shared" si="7"/>
        <v/>
      </c>
    </row>
    <row r="138" spans="1:5" x14ac:dyDescent="0.25">
      <c r="A138" s="246" t="s">
        <v>61</v>
      </c>
      <c r="B138" s="246" t="s">
        <v>63</v>
      </c>
      <c r="C138" s="246" t="str">
        <f t="shared" si="6"/>
        <v>eg</v>
      </c>
      <c r="D138" s="246">
        <v>0</v>
      </c>
      <c r="E138" s="246" t="str">
        <f t="shared" si="7"/>
        <v/>
      </c>
    </row>
    <row r="139" spans="1:5" x14ac:dyDescent="0.25">
      <c r="A139" s="246" t="s">
        <v>61</v>
      </c>
      <c r="B139" s="246" t="s">
        <v>7</v>
      </c>
      <c r="C139" s="246" t="str">
        <f t="shared" si="6"/>
        <v>eh</v>
      </c>
      <c r="D139" s="246">
        <v>0</v>
      </c>
      <c r="E139" s="246" t="str">
        <f t="shared" si="7"/>
        <v/>
      </c>
    </row>
    <row r="140" spans="1:5" x14ac:dyDescent="0.25">
      <c r="A140" s="246" t="s">
        <v>61</v>
      </c>
      <c r="B140" s="246" t="s">
        <v>64</v>
      </c>
      <c r="C140" s="246" t="str">
        <f t="shared" si="6"/>
        <v>ei</v>
      </c>
      <c r="D140" s="246">
        <v>0</v>
      </c>
      <c r="E140" s="246" t="str">
        <f t="shared" si="7"/>
        <v/>
      </c>
    </row>
    <row r="141" spans="1:5" x14ac:dyDescent="0.25">
      <c r="A141" s="246" t="s">
        <v>61</v>
      </c>
      <c r="B141" s="246" t="s">
        <v>65</v>
      </c>
      <c r="C141" s="246" t="str">
        <f t="shared" si="6"/>
        <v>ej</v>
      </c>
      <c r="D141" s="246">
        <v>0</v>
      </c>
      <c r="E141" s="246" t="str">
        <f t="shared" si="7"/>
        <v/>
      </c>
    </row>
    <row r="142" spans="1:5" x14ac:dyDescent="0.25">
      <c r="A142" s="246" t="s">
        <v>61</v>
      </c>
      <c r="B142" s="246" t="s">
        <v>6</v>
      </c>
      <c r="C142" s="246" t="str">
        <f t="shared" si="6"/>
        <v>ek</v>
      </c>
      <c r="D142" s="246">
        <v>0</v>
      </c>
      <c r="E142" s="246" t="str">
        <f t="shared" si="7"/>
        <v/>
      </c>
    </row>
    <row r="143" spans="1:5" x14ac:dyDescent="0.25">
      <c r="A143" s="246" t="s">
        <v>61</v>
      </c>
      <c r="B143" s="246" t="s">
        <v>66</v>
      </c>
      <c r="C143" s="246" t="str">
        <f t="shared" si="6"/>
        <v>el</v>
      </c>
      <c r="D143" s="246">
        <v>0</v>
      </c>
      <c r="E143" s="246" t="str">
        <f t="shared" si="7"/>
        <v/>
      </c>
    </row>
    <row r="144" spans="1:5" x14ac:dyDescent="0.25">
      <c r="A144" s="246" t="s">
        <v>61</v>
      </c>
      <c r="B144" s="246" t="s">
        <v>67</v>
      </c>
      <c r="C144" s="246" t="str">
        <f t="shared" si="6"/>
        <v>em</v>
      </c>
      <c r="D144" s="246">
        <v>0</v>
      </c>
      <c r="E144" s="246" t="str">
        <f t="shared" si="7"/>
        <v/>
      </c>
    </row>
    <row r="145" spans="1:5" x14ac:dyDescent="0.25">
      <c r="A145" s="246" t="s">
        <v>61</v>
      </c>
      <c r="B145" s="246" t="s">
        <v>0</v>
      </c>
      <c r="C145" s="246" t="str">
        <f t="shared" si="6"/>
        <v>en</v>
      </c>
      <c r="D145" s="246">
        <v>0</v>
      </c>
      <c r="E145" s="246" t="str">
        <f t="shared" si="7"/>
        <v/>
      </c>
    </row>
    <row r="146" spans="1:5" x14ac:dyDescent="0.25">
      <c r="A146" s="246" t="s">
        <v>61</v>
      </c>
      <c r="B146" s="246" t="s">
        <v>68</v>
      </c>
      <c r="C146" s="246" t="str">
        <f t="shared" si="6"/>
        <v>eo</v>
      </c>
      <c r="D146" s="246">
        <v>0</v>
      </c>
      <c r="E146" s="246" t="str">
        <f t="shared" si="7"/>
        <v/>
      </c>
    </row>
    <row r="147" spans="1:5" x14ac:dyDescent="0.25">
      <c r="A147" s="246" t="s">
        <v>61</v>
      </c>
      <c r="B147" s="246" t="s">
        <v>69</v>
      </c>
      <c r="C147" s="246" t="str">
        <f t="shared" si="6"/>
        <v>ep</v>
      </c>
      <c r="D147" s="246">
        <v>0</v>
      </c>
      <c r="E147" s="246" t="str">
        <f t="shared" si="7"/>
        <v/>
      </c>
    </row>
    <row r="148" spans="1:5" x14ac:dyDescent="0.25">
      <c r="A148" s="246" t="s">
        <v>61</v>
      </c>
      <c r="B148" s="246" t="s">
        <v>70</v>
      </c>
      <c r="C148" s="246" t="str">
        <f t="shared" si="6"/>
        <v>eq</v>
      </c>
      <c r="D148" s="246">
        <v>0</v>
      </c>
      <c r="E148" s="246" t="str">
        <f t="shared" si="7"/>
        <v/>
      </c>
    </row>
    <row r="149" spans="1:5" x14ac:dyDescent="0.25">
      <c r="A149" s="246" t="s">
        <v>61</v>
      </c>
      <c r="B149" s="246" t="s">
        <v>71</v>
      </c>
      <c r="C149" s="246" t="str">
        <f t="shared" si="6"/>
        <v>er</v>
      </c>
      <c r="D149" s="246">
        <v>0</v>
      </c>
      <c r="E149" s="246" t="str">
        <f t="shared" si="7"/>
        <v/>
      </c>
    </row>
    <row r="150" spans="1:5" x14ac:dyDescent="0.25">
      <c r="A150" s="246" t="s">
        <v>61</v>
      </c>
      <c r="B150" s="246" t="s">
        <v>72</v>
      </c>
      <c r="C150" s="246" t="str">
        <f t="shared" si="6"/>
        <v>es</v>
      </c>
      <c r="D150" s="246">
        <v>0</v>
      </c>
      <c r="E150" s="246" t="str">
        <f t="shared" si="7"/>
        <v/>
      </c>
    </row>
    <row r="151" spans="1:5" x14ac:dyDescent="0.25">
      <c r="A151" s="246" t="s">
        <v>61</v>
      </c>
      <c r="B151" s="246" t="s">
        <v>73</v>
      </c>
      <c r="C151" s="246" t="str">
        <f t="shared" si="6"/>
        <v>et</v>
      </c>
      <c r="D151" s="246">
        <v>0</v>
      </c>
      <c r="E151" s="246" t="str">
        <f t="shared" si="7"/>
        <v/>
      </c>
    </row>
    <row r="152" spans="1:5" x14ac:dyDescent="0.25">
      <c r="A152" s="246" t="s">
        <v>61</v>
      </c>
      <c r="B152" s="246" t="s">
        <v>74</v>
      </c>
      <c r="C152" s="246" t="str">
        <f t="shared" si="6"/>
        <v>eu</v>
      </c>
      <c r="D152" s="246">
        <v>0</v>
      </c>
      <c r="E152" s="246" t="str">
        <f t="shared" si="7"/>
        <v/>
      </c>
    </row>
    <row r="153" spans="1:5" x14ac:dyDescent="0.25">
      <c r="A153" s="246" t="s">
        <v>61</v>
      </c>
      <c r="B153" s="246" t="s">
        <v>75</v>
      </c>
      <c r="C153" s="246" t="str">
        <f t="shared" si="6"/>
        <v>ev</v>
      </c>
      <c r="D153" s="246">
        <v>0</v>
      </c>
      <c r="E153" s="246" t="str">
        <f t="shared" si="7"/>
        <v/>
      </c>
    </row>
    <row r="154" spans="1:5" x14ac:dyDescent="0.25">
      <c r="A154" s="246" t="s">
        <v>61</v>
      </c>
      <c r="B154" s="246" t="s">
        <v>76</v>
      </c>
      <c r="C154" s="246" t="str">
        <f t="shared" si="6"/>
        <v>ew</v>
      </c>
      <c r="D154" s="246">
        <v>0</v>
      </c>
      <c r="E154" s="246" t="str">
        <f t="shared" si="7"/>
        <v/>
      </c>
    </row>
    <row r="155" spans="1:5" x14ac:dyDescent="0.25">
      <c r="A155" s="246" t="s">
        <v>61</v>
      </c>
      <c r="B155" s="246" t="s">
        <v>1</v>
      </c>
      <c r="C155" s="246" t="str">
        <f t="shared" si="6"/>
        <v>ex</v>
      </c>
      <c r="D155" s="246">
        <v>0</v>
      </c>
      <c r="E155" s="246" t="str">
        <f t="shared" si="7"/>
        <v/>
      </c>
    </row>
    <row r="156" spans="1:5" x14ac:dyDescent="0.25">
      <c r="A156" s="246" t="s">
        <v>61</v>
      </c>
      <c r="B156" s="246" t="s">
        <v>77</v>
      </c>
      <c r="C156" s="246" t="str">
        <f t="shared" si="6"/>
        <v>ey</v>
      </c>
      <c r="D156" s="246">
        <v>0</v>
      </c>
      <c r="E156" s="246" t="str">
        <f t="shared" si="7"/>
        <v/>
      </c>
    </row>
    <row r="157" spans="1:5" x14ac:dyDescent="0.25">
      <c r="A157" s="246" t="s">
        <v>61</v>
      </c>
      <c r="B157" s="246" t="s">
        <v>78</v>
      </c>
      <c r="C157" s="246" t="str">
        <f t="shared" ref="C157:C220" si="8">A157&amp;B157</f>
        <v>ez</v>
      </c>
      <c r="D157" s="246">
        <v>0</v>
      </c>
      <c r="E157" s="246" t="str">
        <f t="shared" si="7"/>
        <v/>
      </c>
    </row>
    <row r="158" spans="1:5" x14ac:dyDescent="0.25">
      <c r="A158" s="246" t="s">
        <v>62</v>
      </c>
      <c r="B158" s="246" t="s">
        <v>9</v>
      </c>
      <c r="C158" s="246" t="str">
        <f t="shared" si="8"/>
        <v>fa</v>
      </c>
      <c r="D158" s="246">
        <v>0</v>
      </c>
      <c r="E158" s="246" t="str">
        <f t="shared" si="7"/>
        <v/>
      </c>
    </row>
    <row r="159" spans="1:5" x14ac:dyDescent="0.25">
      <c r="A159" s="246" t="s">
        <v>62</v>
      </c>
      <c r="B159" s="246" t="s">
        <v>58</v>
      </c>
      <c r="C159" s="246" t="str">
        <f t="shared" si="8"/>
        <v>fb</v>
      </c>
      <c r="D159" s="246">
        <v>0</v>
      </c>
      <c r="E159" s="246" t="str">
        <f t="shared" si="7"/>
        <v/>
      </c>
    </row>
    <row r="160" spans="1:5" x14ac:dyDescent="0.25">
      <c r="A160" s="246" t="s">
        <v>62</v>
      </c>
      <c r="B160" s="246" t="s">
        <v>59</v>
      </c>
      <c r="C160" s="246" t="str">
        <f t="shared" si="8"/>
        <v>fc</v>
      </c>
      <c r="D160" s="246">
        <v>0</v>
      </c>
      <c r="E160" s="246" t="str">
        <f t="shared" si="7"/>
        <v/>
      </c>
    </row>
    <row r="161" spans="1:5" x14ac:dyDescent="0.25">
      <c r="A161" s="246" t="s">
        <v>62</v>
      </c>
      <c r="B161" s="246" t="s">
        <v>60</v>
      </c>
      <c r="C161" s="246" t="str">
        <f t="shared" si="8"/>
        <v>fd</v>
      </c>
      <c r="D161" s="246">
        <v>0</v>
      </c>
      <c r="E161" s="246" t="str">
        <f t="shared" si="7"/>
        <v/>
      </c>
    </row>
    <row r="162" spans="1:5" x14ac:dyDescent="0.25">
      <c r="A162" s="246" t="s">
        <v>62</v>
      </c>
      <c r="B162" s="246" t="s">
        <v>61</v>
      </c>
      <c r="C162" s="246" t="str">
        <f t="shared" si="8"/>
        <v>fe</v>
      </c>
      <c r="D162" s="246">
        <v>0</v>
      </c>
      <c r="E162" s="246" t="str">
        <f t="shared" si="7"/>
        <v/>
      </c>
    </row>
    <row r="163" spans="1:5" x14ac:dyDescent="0.25">
      <c r="A163" s="246" t="s">
        <v>62</v>
      </c>
      <c r="B163" s="246" t="s">
        <v>62</v>
      </c>
      <c r="C163" s="246" t="str">
        <f t="shared" si="8"/>
        <v>ff</v>
      </c>
      <c r="D163" s="246">
        <v>0</v>
      </c>
      <c r="E163" s="246" t="str">
        <f t="shared" si="7"/>
        <v/>
      </c>
    </row>
    <row r="164" spans="1:5" x14ac:dyDescent="0.25">
      <c r="A164" s="246" t="s">
        <v>62</v>
      </c>
      <c r="B164" s="246" t="s">
        <v>63</v>
      </c>
      <c r="C164" s="246" t="str">
        <f t="shared" si="8"/>
        <v>fg</v>
      </c>
      <c r="D164" s="246">
        <v>0</v>
      </c>
      <c r="E164" s="246" t="str">
        <f t="shared" si="7"/>
        <v/>
      </c>
    </row>
    <row r="165" spans="1:5" x14ac:dyDescent="0.25">
      <c r="A165" s="246" t="s">
        <v>62</v>
      </c>
      <c r="B165" s="246" t="s">
        <v>7</v>
      </c>
      <c r="C165" s="246" t="str">
        <f t="shared" si="8"/>
        <v>fh</v>
      </c>
      <c r="D165" s="246">
        <v>0</v>
      </c>
      <c r="E165" s="246" t="str">
        <f t="shared" si="7"/>
        <v/>
      </c>
    </row>
    <row r="166" spans="1:5" x14ac:dyDescent="0.25">
      <c r="A166" s="246" t="s">
        <v>62</v>
      </c>
      <c r="B166" s="246" t="s">
        <v>64</v>
      </c>
      <c r="C166" s="246" t="str">
        <f t="shared" si="8"/>
        <v>fi</v>
      </c>
      <c r="D166" s="246">
        <v>0</v>
      </c>
      <c r="E166" s="246" t="str">
        <f t="shared" si="7"/>
        <v/>
      </c>
    </row>
    <row r="167" spans="1:5" x14ac:dyDescent="0.25">
      <c r="A167" s="246" t="s">
        <v>62</v>
      </c>
      <c r="B167" s="246" t="s">
        <v>65</v>
      </c>
      <c r="C167" s="246" t="str">
        <f t="shared" si="8"/>
        <v>fj</v>
      </c>
      <c r="D167" s="246">
        <v>0</v>
      </c>
      <c r="E167" s="246" t="str">
        <f t="shared" si="7"/>
        <v/>
      </c>
    </row>
    <row r="168" spans="1:5" x14ac:dyDescent="0.25">
      <c r="A168" s="246" t="s">
        <v>62</v>
      </c>
      <c r="B168" s="246" t="s">
        <v>6</v>
      </c>
      <c r="C168" s="246" t="str">
        <f t="shared" si="8"/>
        <v>fk</v>
      </c>
      <c r="D168" s="246">
        <v>0</v>
      </c>
      <c r="E168" s="246" t="str">
        <f t="shared" si="7"/>
        <v/>
      </c>
    </row>
    <row r="169" spans="1:5" x14ac:dyDescent="0.25">
      <c r="A169" s="246" t="s">
        <v>62</v>
      </c>
      <c r="B169" s="246" t="s">
        <v>66</v>
      </c>
      <c r="C169" s="246" t="str">
        <f t="shared" si="8"/>
        <v>fl</v>
      </c>
      <c r="D169" s="246">
        <v>0</v>
      </c>
      <c r="E169" s="246" t="str">
        <f t="shared" si="7"/>
        <v/>
      </c>
    </row>
    <row r="170" spans="1:5" x14ac:dyDescent="0.25">
      <c r="A170" s="246" t="s">
        <v>62</v>
      </c>
      <c r="B170" s="246" t="s">
        <v>67</v>
      </c>
      <c r="C170" s="246" t="str">
        <f t="shared" si="8"/>
        <v>fm</v>
      </c>
      <c r="D170" s="246">
        <v>0</v>
      </c>
      <c r="E170" s="246" t="str">
        <f t="shared" si="7"/>
        <v/>
      </c>
    </row>
    <row r="171" spans="1:5" x14ac:dyDescent="0.25">
      <c r="A171" s="246" t="s">
        <v>62</v>
      </c>
      <c r="B171" s="246" t="s">
        <v>0</v>
      </c>
      <c r="C171" s="246" t="str">
        <f t="shared" si="8"/>
        <v>fn</v>
      </c>
      <c r="D171" s="246">
        <v>0</v>
      </c>
      <c r="E171" s="246" t="str">
        <f t="shared" si="7"/>
        <v/>
      </c>
    </row>
    <row r="172" spans="1:5" x14ac:dyDescent="0.25">
      <c r="A172" s="246" t="s">
        <v>62</v>
      </c>
      <c r="B172" s="246" t="s">
        <v>68</v>
      </c>
      <c r="C172" s="246" t="str">
        <f t="shared" si="8"/>
        <v>fo</v>
      </c>
      <c r="D172" s="246">
        <v>0</v>
      </c>
      <c r="E172" s="246" t="str">
        <f t="shared" si="7"/>
        <v/>
      </c>
    </row>
    <row r="173" spans="1:5" x14ac:dyDescent="0.25">
      <c r="A173" s="246" t="s">
        <v>62</v>
      </c>
      <c r="B173" s="246" t="s">
        <v>69</v>
      </c>
      <c r="C173" s="246" t="str">
        <f t="shared" si="8"/>
        <v>fp</v>
      </c>
      <c r="D173" s="246">
        <v>0</v>
      </c>
      <c r="E173" s="246" t="str">
        <f t="shared" si="7"/>
        <v/>
      </c>
    </row>
    <row r="174" spans="1:5" x14ac:dyDescent="0.25">
      <c r="A174" s="246" t="s">
        <v>62</v>
      </c>
      <c r="B174" s="246" t="s">
        <v>70</v>
      </c>
      <c r="C174" s="246" t="str">
        <f t="shared" si="8"/>
        <v>fq</v>
      </c>
      <c r="D174" s="246">
        <v>0</v>
      </c>
      <c r="E174" s="246" t="str">
        <f t="shared" si="7"/>
        <v/>
      </c>
    </row>
    <row r="175" spans="1:5" x14ac:dyDescent="0.25">
      <c r="A175" s="246" t="s">
        <v>62</v>
      </c>
      <c r="B175" s="246" t="s">
        <v>71</v>
      </c>
      <c r="C175" s="246" t="str">
        <f t="shared" si="8"/>
        <v>fr</v>
      </c>
      <c r="D175" s="246">
        <v>0</v>
      </c>
      <c r="E175" s="246" t="str">
        <f t="shared" si="7"/>
        <v/>
      </c>
    </row>
    <row r="176" spans="1:5" x14ac:dyDescent="0.25">
      <c r="A176" s="246" t="s">
        <v>62</v>
      </c>
      <c r="B176" s="246" t="s">
        <v>72</v>
      </c>
      <c r="C176" s="246" t="str">
        <f t="shared" si="8"/>
        <v>fs</v>
      </c>
      <c r="D176" s="246">
        <v>0</v>
      </c>
      <c r="E176" s="246" t="str">
        <f t="shared" si="7"/>
        <v/>
      </c>
    </row>
    <row r="177" spans="1:5" x14ac:dyDescent="0.25">
      <c r="A177" s="246" t="s">
        <v>62</v>
      </c>
      <c r="B177" s="246" t="s">
        <v>73</v>
      </c>
      <c r="C177" s="246" t="str">
        <f t="shared" si="8"/>
        <v>ft</v>
      </c>
      <c r="D177" s="246">
        <v>0</v>
      </c>
      <c r="E177" s="246" t="str">
        <f t="shared" si="7"/>
        <v/>
      </c>
    </row>
    <row r="178" spans="1:5" x14ac:dyDescent="0.25">
      <c r="A178" s="246" t="s">
        <v>62</v>
      </c>
      <c r="B178" s="246" t="s">
        <v>74</v>
      </c>
      <c r="C178" s="246" t="str">
        <f t="shared" si="8"/>
        <v>fu</v>
      </c>
      <c r="D178" s="246">
        <v>0</v>
      </c>
      <c r="E178" s="246" t="str">
        <f t="shared" si="7"/>
        <v/>
      </c>
    </row>
    <row r="179" spans="1:5" x14ac:dyDescent="0.25">
      <c r="A179" s="246" t="s">
        <v>62</v>
      </c>
      <c r="B179" s="246" t="s">
        <v>75</v>
      </c>
      <c r="C179" s="246" t="str">
        <f t="shared" si="8"/>
        <v>fv</v>
      </c>
      <c r="D179" s="246">
        <v>0</v>
      </c>
      <c r="E179" s="246" t="str">
        <f t="shared" si="7"/>
        <v/>
      </c>
    </row>
    <row r="180" spans="1:5" x14ac:dyDescent="0.25">
      <c r="A180" s="246" t="s">
        <v>62</v>
      </c>
      <c r="B180" s="246" t="s">
        <v>76</v>
      </c>
      <c r="C180" s="246" t="str">
        <f t="shared" si="8"/>
        <v>fw</v>
      </c>
      <c r="D180" s="246">
        <v>0</v>
      </c>
      <c r="E180" s="246" t="str">
        <f t="shared" si="7"/>
        <v/>
      </c>
    </row>
    <row r="181" spans="1:5" x14ac:dyDescent="0.25">
      <c r="A181" s="246" t="s">
        <v>62</v>
      </c>
      <c r="B181" s="246" t="s">
        <v>1</v>
      </c>
      <c r="C181" s="246" t="str">
        <f t="shared" si="8"/>
        <v>fx</v>
      </c>
      <c r="D181" s="246">
        <v>0</v>
      </c>
      <c r="E181" s="246" t="str">
        <f t="shared" si="7"/>
        <v/>
      </c>
    </row>
    <row r="182" spans="1:5" x14ac:dyDescent="0.25">
      <c r="A182" s="246" t="s">
        <v>62</v>
      </c>
      <c r="B182" s="246" t="s">
        <v>77</v>
      </c>
      <c r="C182" s="246" t="str">
        <f t="shared" si="8"/>
        <v>fy</v>
      </c>
      <c r="D182" s="246">
        <v>0</v>
      </c>
      <c r="E182" s="246" t="str">
        <f t="shared" si="7"/>
        <v/>
      </c>
    </row>
    <row r="183" spans="1:5" x14ac:dyDescent="0.25">
      <c r="A183" s="246" t="s">
        <v>62</v>
      </c>
      <c r="B183" s="246" t="s">
        <v>78</v>
      </c>
      <c r="C183" s="246" t="str">
        <f t="shared" si="8"/>
        <v>fz</v>
      </c>
      <c r="D183" s="246">
        <v>0</v>
      </c>
      <c r="E183" s="246" t="str">
        <f t="shared" si="7"/>
        <v/>
      </c>
    </row>
    <row r="184" spans="1:5" x14ac:dyDescent="0.25">
      <c r="A184" s="246" t="s">
        <v>63</v>
      </c>
      <c r="B184" s="246" t="s">
        <v>9</v>
      </c>
      <c r="C184" s="246" t="str">
        <f t="shared" si="8"/>
        <v>ga</v>
      </c>
      <c r="D184" s="246">
        <v>0</v>
      </c>
      <c r="E184" s="246" t="str">
        <f t="shared" si="7"/>
        <v/>
      </c>
    </row>
    <row r="185" spans="1:5" x14ac:dyDescent="0.25">
      <c r="A185" s="246" t="s">
        <v>63</v>
      </c>
      <c r="B185" s="246" t="s">
        <v>58</v>
      </c>
      <c r="C185" s="246" t="str">
        <f t="shared" si="8"/>
        <v>gb</v>
      </c>
      <c r="D185" s="246">
        <v>0</v>
      </c>
      <c r="E185" s="246" t="str">
        <f t="shared" si="7"/>
        <v/>
      </c>
    </row>
    <row r="186" spans="1:5" x14ac:dyDescent="0.25">
      <c r="A186" s="246" t="s">
        <v>63</v>
      </c>
      <c r="B186" s="246" t="s">
        <v>59</v>
      </c>
      <c r="C186" s="246" t="str">
        <f t="shared" si="8"/>
        <v>gc</v>
      </c>
      <c r="D186" s="246">
        <v>0</v>
      </c>
      <c r="E186" s="246" t="str">
        <f t="shared" si="7"/>
        <v/>
      </c>
    </row>
    <row r="187" spans="1:5" x14ac:dyDescent="0.25">
      <c r="A187" s="246" t="s">
        <v>63</v>
      </c>
      <c r="B187" s="246" t="s">
        <v>60</v>
      </c>
      <c r="C187" s="246" t="str">
        <f t="shared" si="8"/>
        <v>gd</v>
      </c>
      <c r="D187" s="246">
        <v>0</v>
      </c>
      <c r="E187" s="246" t="str">
        <f t="shared" si="7"/>
        <v/>
      </c>
    </row>
    <row r="188" spans="1:5" x14ac:dyDescent="0.25">
      <c r="A188" s="246" t="s">
        <v>63</v>
      </c>
      <c r="B188" s="246" t="s">
        <v>61</v>
      </c>
      <c r="C188" s="246" t="str">
        <f t="shared" si="8"/>
        <v>ge</v>
      </c>
      <c r="D188" s="246">
        <v>0</v>
      </c>
      <c r="E188" s="246" t="str">
        <f t="shared" si="7"/>
        <v/>
      </c>
    </row>
    <row r="189" spans="1:5" x14ac:dyDescent="0.25">
      <c r="A189" s="246" t="s">
        <v>63</v>
      </c>
      <c r="B189" s="246" t="s">
        <v>62</v>
      </c>
      <c r="C189" s="246" t="str">
        <f t="shared" si="8"/>
        <v>gf</v>
      </c>
      <c r="D189" s="246">
        <v>0</v>
      </c>
      <c r="E189" s="246" t="str">
        <f t="shared" si="7"/>
        <v/>
      </c>
    </row>
    <row r="190" spans="1:5" x14ac:dyDescent="0.25">
      <c r="A190" s="246" t="s">
        <v>63</v>
      </c>
      <c r="B190" s="246" t="s">
        <v>63</v>
      </c>
      <c r="C190" s="246" t="str">
        <f t="shared" si="8"/>
        <v>gg</v>
      </c>
      <c r="D190" s="246">
        <v>0</v>
      </c>
      <c r="E190" s="246" t="str">
        <f t="shared" si="7"/>
        <v/>
      </c>
    </row>
    <row r="191" spans="1:5" x14ac:dyDescent="0.25">
      <c r="A191" s="246" t="s">
        <v>63</v>
      </c>
      <c r="B191" s="246" t="s">
        <v>7</v>
      </c>
      <c r="C191" s="246" t="str">
        <f t="shared" si="8"/>
        <v>gh</v>
      </c>
      <c r="D191" s="246">
        <v>0</v>
      </c>
      <c r="E191" s="246" t="str">
        <f t="shared" si="7"/>
        <v/>
      </c>
    </row>
    <row r="192" spans="1:5" x14ac:dyDescent="0.25">
      <c r="A192" s="246" t="s">
        <v>63</v>
      </c>
      <c r="B192" s="246" t="s">
        <v>64</v>
      </c>
      <c r="C192" s="246" t="str">
        <f t="shared" si="8"/>
        <v>gi</v>
      </c>
      <c r="D192" s="246">
        <v>0</v>
      </c>
      <c r="E192" s="246" t="str">
        <f t="shared" si="7"/>
        <v/>
      </c>
    </row>
    <row r="193" spans="1:5" x14ac:dyDescent="0.25">
      <c r="A193" s="246" t="s">
        <v>63</v>
      </c>
      <c r="B193" s="246" t="s">
        <v>65</v>
      </c>
      <c r="C193" s="246" t="str">
        <f t="shared" si="8"/>
        <v>gj</v>
      </c>
      <c r="D193" s="246">
        <v>0</v>
      </c>
      <c r="E193" s="246" t="str">
        <f t="shared" si="7"/>
        <v/>
      </c>
    </row>
    <row r="194" spans="1:5" x14ac:dyDescent="0.25">
      <c r="A194" s="246" t="s">
        <v>63</v>
      </c>
      <c r="B194" s="246" t="s">
        <v>6</v>
      </c>
      <c r="C194" s="246" t="str">
        <f t="shared" si="8"/>
        <v>gk</v>
      </c>
      <c r="D194" s="246">
        <v>0</v>
      </c>
      <c r="E194" s="246" t="str">
        <f t="shared" si="7"/>
        <v/>
      </c>
    </row>
    <row r="195" spans="1:5" x14ac:dyDescent="0.25">
      <c r="A195" s="246" t="s">
        <v>63</v>
      </c>
      <c r="B195" s="246" t="s">
        <v>66</v>
      </c>
      <c r="C195" s="246" t="str">
        <f t="shared" si="8"/>
        <v>gl</v>
      </c>
      <c r="D195" s="246">
        <v>0</v>
      </c>
      <c r="E195" s="246" t="str">
        <f t="shared" ref="E195:E257" si="9">IF(D195=0,"",D195)</f>
        <v/>
      </c>
    </row>
    <row r="196" spans="1:5" x14ac:dyDescent="0.25">
      <c r="A196" s="246" t="s">
        <v>63</v>
      </c>
      <c r="B196" s="246" t="s">
        <v>67</v>
      </c>
      <c r="C196" s="246" t="str">
        <f t="shared" si="8"/>
        <v>gm</v>
      </c>
      <c r="D196" s="246">
        <v>0</v>
      </c>
      <c r="E196" s="246" t="str">
        <f t="shared" si="9"/>
        <v/>
      </c>
    </row>
    <row r="197" spans="1:5" x14ac:dyDescent="0.25">
      <c r="A197" s="246" t="s">
        <v>63</v>
      </c>
      <c r="B197" s="246" t="s">
        <v>0</v>
      </c>
      <c r="C197" s="246" t="str">
        <f t="shared" si="8"/>
        <v>gn</v>
      </c>
      <c r="D197" s="246">
        <v>0</v>
      </c>
      <c r="E197" s="246" t="str">
        <f t="shared" si="9"/>
        <v/>
      </c>
    </row>
    <row r="198" spans="1:5" x14ac:dyDescent="0.25">
      <c r="A198" s="246" t="s">
        <v>63</v>
      </c>
      <c r="B198" s="246" t="s">
        <v>68</v>
      </c>
      <c r="C198" s="246" t="str">
        <f t="shared" si="8"/>
        <v>go</v>
      </c>
      <c r="D198" s="246">
        <v>0</v>
      </c>
      <c r="E198" s="246" t="str">
        <f t="shared" si="9"/>
        <v/>
      </c>
    </row>
    <row r="199" spans="1:5" x14ac:dyDescent="0.25">
      <c r="A199" s="246" t="s">
        <v>63</v>
      </c>
      <c r="B199" s="246" t="s">
        <v>69</v>
      </c>
      <c r="C199" s="246" t="str">
        <f t="shared" si="8"/>
        <v>gp</v>
      </c>
      <c r="D199" s="246">
        <v>0</v>
      </c>
      <c r="E199" s="246" t="str">
        <f t="shared" si="9"/>
        <v/>
      </c>
    </row>
    <row r="200" spans="1:5" x14ac:dyDescent="0.25">
      <c r="A200" s="246" t="s">
        <v>63</v>
      </c>
      <c r="B200" s="246" t="s">
        <v>70</v>
      </c>
      <c r="C200" s="246" t="str">
        <f t="shared" si="8"/>
        <v>gq</v>
      </c>
      <c r="D200" s="246">
        <v>0</v>
      </c>
      <c r="E200" s="246" t="str">
        <f t="shared" si="9"/>
        <v/>
      </c>
    </row>
    <row r="201" spans="1:5" x14ac:dyDescent="0.25">
      <c r="A201" s="246" t="s">
        <v>63</v>
      </c>
      <c r="B201" s="246" t="s">
        <v>71</v>
      </c>
      <c r="C201" s="246" t="str">
        <f t="shared" si="8"/>
        <v>gr</v>
      </c>
      <c r="D201" s="246">
        <v>0</v>
      </c>
      <c r="E201" s="246" t="str">
        <f t="shared" si="9"/>
        <v/>
      </c>
    </row>
    <row r="202" spans="1:5" x14ac:dyDescent="0.25">
      <c r="A202" s="246" t="s">
        <v>63</v>
      </c>
      <c r="B202" s="246" t="s">
        <v>72</v>
      </c>
      <c r="C202" s="246" t="str">
        <f t="shared" si="8"/>
        <v>gs</v>
      </c>
      <c r="D202" s="246">
        <v>0</v>
      </c>
      <c r="E202" s="246" t="str">
        <f t="shared" si="9"/>
        <v/>
      </c>
    </row>
    <row r="203" spans="1:5" x14ac:dyDescent="0.25">
      <c r="A203" s="246" t="s">
        <v>63</v>
      </c>
      <c r="B203" s="246" t="s">
        <v>73</v>
      </c>
      <c r="C203" s="246" t="str">
        <f t="shared" si="8"/>
        <v>gt</v>
      </c>
      <c r="D203" s="246">
        <v>0</v>
      </c>
      <c r="E203" s="246" t="str">
        <f t="shared" si="9"/>
        <v/>
      </c>
    </row>
    <row r="204" spans="1:5" x14ac:dyDescent="0.25">
      <c r="A204" s="246" t="s">
        <v>63</v>
      </c>
      <c r="B204" s="246" t="s">
        <v>74</v>
      </c>
      <c r="C204" s="246" t="str">
        <f t="shared" si="8"/>
        <v>gu</v>
      </c>
      <c r="D204" s="246">
        <v>0</v>
      </c>
      <c r="E204" s="246" t="str">
        <f t="shared" si="9"/>
        <v/>
      </c>
    </row>
    <row r="205" spans="1:5" x14ac:dyDescent="0.25">
      <c r="A205" s="246" t="s">
        <v>63</v>
      </c>
      <c r="B205" s="246" t="s">
        <v>75</v>
      </c>
      <c r="C205" s="246" t="str">
        <f t="shared" si="8"/>
        <v>gv</v>
      </c>
      <c r="D205" s="246">
        <v>0</v>
      </c>
      <c r="E205" s="246" t="str">
        <f t="shared" si="9"/>
        <v/>
      </c>
    </row>
    <row r="206" spans="1:5" x14ac:dyDescent="0.25">
      <c r="A206" s="246" t="s">
        <v>63</v>
      </c>
      <c r="B206" s="246" t="s">
        <v>76</v>
      </c>
      <c r="C206" s="246" t="str">
        <f t="shared" si="8"/>
        <v>gw</v>
      </c>
      <c r="D206" s="246">
        <v>0</v>
      </c>
      <c r="E206" s="246" t="str">
        <f t="shared" si="9"/>
        <v/>
      </c>
    </row>
    <row r="207" spans="1:5" x14ac:dyDescent="0.25">
      <c r="A207" s="246" t="s">
        <v>63</v>
      </c>
      <c r="B207" s="246" t="s">
        <v>1</v>
      </c>
      <c r="C207" s="246" t="str">
        <f t="shared" si="8"/>
        <v>gx</v>
      </c>
      <c r="D207" s="246">
        <v>0</v>
      </c>
      <c r="E207" s="246" t="str">
        <f t="shared" si="9"/>
        <v/>
      </c>
    </row>
    <row r="208" spans="1:5" x14ac:dyDescent="0.25">
      <c r="A208" s="246" t="s">
        <v>63</v>
      </c>
      <c r="B208" s="246" t="s">
        <v>77</v>
      </c>
      <c r="C208" s="246" t="str">
        <f t="shared" si="8"/>
        <v>gy</v>
      </c>
      <c r="D208" s="246">
        <v>0</v>
      </c>
      <c r="E208" s="246" t="str">
        <f t="shared" si="9"/>
        <v/>
      </c>
    </row>
    <row r="209" spans="1:5" x14ac:dyDescent="0.25">
      <c r="A209" s="246" t="s">
        <v>63</v>
      </c>
      <c r="B209" s="246" t="s">
        <v>78</v>
      </c>
      <c r="C209" s="246" t="str">
        <f t="shared" si="8"/>
        <v>gz</v>
      </c>
      <c r="D209" s="246">
        <v>0</v>
      </c>
      <c r="E209" s="246" t="str">
        <f t="shared" si="9"/>
        <v/>
      </c>
    </row>
    <row r="210" spans="1:5" x14ac:dyDescent="0.25">
      <c r="A210" s="246" t="s">
        <v>7</v>
      </c>
      <c r="B210" s="246" t="s">
        <v>9</v>
      </c>
      <c r="C210" s="246" t="str">
        <f t="shared" si="8"/>
        <v>ha</v>
      </c>
      <c r="D210" s="246">
        <v>0</v>
      </c>
      <c r="E210" s="246" t="str">
        <f t="shared" si="9"/>
        <v/>
      </c>
    </row>
    <row r="211" spans="1:5" x14ac:dyDescent="0.25">
      <c r="A211" s="246" t="s">
        <v>7</v>
      </c>
      <c r="B211" s="246" t="s">
        <v>58</v>
      </c>
      <c r="C211" s="246" t="str">
        <f t="shared" si="8"/>
        <v>hb</v>
      </c>
      <c r="D211" s="246">
        <v>0</v>
      </c>
      <c r="E211" s="246" t="str">
        <f t="shared" si="9"/>
        <v/>
      </c>
    </row>
    <row r="212" spans="1:5" x14ac:dyDescent="0.25">
      <c r="A212" s="246" t="s">
        <v>7</v>
      </c>
      <c r="B212" s="246" t="s">
        <v>59</v>
      </c>
      <c r="C212" s="246" t="str">
        <f t="shared" si="8"/>
        <v>hc</v>
      </c>
      <c r="D212" s="246">
        <v>0</v>
      </c>
      <c r="E212" s="246" t="str">
        <f t="shared" si="9"/>
        <v/>
      </c>
    </row>
    <row r="213" spans="1:5" x14ac:dyDescent="0.25">
      <c r="A213" s="246" t="s">
        <v>7</v>
      </c>
      <c r="B213" s="246" t="s">
        <v>60</v>
      </c>
      <c r="C213" s="246" t="str">
        <f t="shared" si="8"/>
        <v>hd</v>
      </c>
      <c r="D213" s="246">
        <v>0</v>
      </c>
      <c r="E213" s="246" t="str">
        <f t="shared" si="9"/>
        <v/>
      </c>
    </row>
    <row r="214" spans="1:5" x14ac:dyDescent="0.25">
      <c r="A214" s="246" t="s">
        <v>7</v>
      </c>
      <c r="B214" s="246" t="s">
        <v>61</v>
      </c>
      <c r="C214" s="246" t="str">
        <f t="shared" si="8"/>
        <v>he</v>
      </c>
      <c r="D214" s="246">
        <v>0</v>
      </c>
      <c r="E214" s="246" t="str">
        <f t="shared" si="9"/>
        <v/>
      </c>
    </row>
    <row r="215" spans="1:5" x14ac:dyDescent="0.25">
      <c r="A215" s="246" t="s">
        <v>7</v>
      </c>
      <c r="B215" s="246" t="s">
        <v>62</v>
      </c>
      <c r="C215" s="246" t="str">
        <f t="shared" si="8"/>
        <v>hf</v>
      </c>
      <c r="D215" s="246">
        <v>0</v>
      </c>
      <c r="E215" s="246" t="str">
        <f t="shared" si="9"/>
        <v/>
      </c>
    </row>
    <row r="216" spans="1:5" x14ac:dyDescent="0.25">
      <c r="A216" s="246" t="s">
        <v>7</v>
      </c>
      <c r="B216" s="246" t="s">
        <v>63</v>
      </c>
      <c r="C216" s="246" t="str">
        <f t="shared" si="8"/>
        <v>hg</v>
      </c>
      <c r="D216" s="246">
        <v>0</v>
      </c>
      <c r="E216" s="246" t="str">
        <f t="shared" si="9"/>
        <v/>
      </c>
    </row>
    <row r="217" spans="1:5" x14ac:dyDescent="0.25">
      <c r="A217" s="246" t="s">
        <v>7</v>
      </c>
      <c r="B217" s="246" t="s">
        <v>7</v>
      </c>
      <c r="C217" s="246" t="str">
        <f t="shared" si="8"/>
        <v>hh</v>
      </c>
      <c r="D217" s="246">
        <v>0</v>
      </c>
      <c r="E217" s="246" t="str">
        <f t="shared" si="9"/>
        <v/>
      </c>
    </row>
    <row r="218" spans="1:5" x14ac:dyDescent="0.25">
      <c r="A218" s="246" t="s">
        <v>7</v>
      </c>
      <c r="B218" s="246" t="s">
        <v>64</v>
      </c>
      <c r="C218" s="246" t="str">
        <f t="shared" si="8"/>
        <v>hi</v>
      </c>
      <c r="D218" s="246">
        <v>0</v>
      </c>
      <c r="E218" s="246" t="str">
        <f t="shared" si="9"/>
        <v/>
      </c>
    </row>
    <row r="219" spans="1:5" x14ac:dyDescent="0.25">
      <c r="A219" s="246" t="s">
        <v>7</v>
      </c>
      <c r="B219" s="246" t="s">
        <v>65</v>
      </c>
      <c r="C219" s="246" t="str">
        <f t="shared" si="8"/>
        <v>hj</v>
      </c>
      <c r="D219" s="246">
        <v>0</v>
      </c>
      <c r="E219" s="246" t="str">
        <f t="shared" si="9"/>
        <v/>
      </c>
    </row>
    <row r="220" spans="1:5" x14ac:dyDescent="0.25">
      <c r="A220" s="246" t="s">
        <v>7</v>
      </c>
      <c r="B220" s="246" t="s">
        <v>6</v>
      </c>
      <c r="C220" s="246" t="str">
        <f t="shared" si="8"/>
        <v>hk</v>
      </c>
      <c r="D220" s="246">
        <v>0</v>
      </c>
      <c r="E220" s="246" t="str">
        <f t="shared" si="9"/>
        <v/>
      </c>
    </row>
    <row r="221" spans="1:5" x14ac:dyDescent="0.25">
      <c r="A221" s="246" t="s">
        <v>7</v>
      </c>
      <c r="B221" s="246" t="s">
        <v>66</v>
      </c>
      <c r="C221" s="246" t="str">
        <f t="shared" ref="C221:C257" si="10">A221&amp;B221</f>
        <v>hl</v>
      </c>
      <c r="D221" s="246">
        <v>0</v>
      </c>
      <c r="E221" s="246" t="str">
        <f t="shared" si="9"/>
        <v/>
      </c>
    </row>
    <row r="222" spans="1:5" x14ac:dyDescent="0.25">
      <c r="A222" s="246" t="s">
        <v>7</v>
      </c>
      <c r="B222" s="246" t="s">
        <v>67</v>
      </c>
      <c r="C222" s="246" t="str">
        <f t="shared" si="10"/>
        <v>hm</v>
      </c>
      <c r="D222" s="246">
        <v>0</v>
      </c>
      <c r="E222" s="246" t="str">
        <f t="shared" si="9"/>
        <v/>
      </c>
    </row>
    <row r="223" spans="1:5" x14ac:dyDescent="0.25">
      <c r="A223" s="246" t="s">
        <v>7</v>
      </c>
      <c r="B223" s="246" t="s">
        <v>0</v>
      </c>
      <c r="C223" s="246" t="str">
        <f t="shared" si="10"/>
        <v>hn</v>
      </c>
      <c r="D223" s="246">
        <v>0</v>
      </c>
      <c r="E223" s="246" t="str">
        <f t="shared" si="9"/>
        <v/>
      </c>
    </row>
    <row r="224" spans="1:5" x14ac:dyDescent="0.25">
      <c r="A224" s="246" t="s">
        <v>7</v>
      </c>
      <c r="B224" s="246" t="s">
        <v>68</v>
      </c>
      <c r="C224" s="246" t="str">
        <f t="shared" si="10"/>
        <v>ho</v>
      </c>
      <c r="D224" s="246">
        <v>0</v>
      </c>
      <c r="E224" s="246" t="str">
        <f t="shared" si="9"/>
        <v/>
      </c>
    </row>
    <row r="225" spans="1:5" x14ac:dyDescent="0.25">
      <c r="A225" s="246" t="s">
        <v>7</v>
      </c>
      <c r="B225" s="246" t="s">
        <v>69</v>
      </c>
      <c r="C225" s="246" t="str">
        <f t="shared" si="10"/>
        <v>hp</v>
      </c>
      <c r="D225" s="246">
        <v>0</v>
      </c>
      <c r="E225" s="246" t="str">
        <f t="shared" si="9"/>
        <v/>
      </c>
    </row>
    <row r="226" spans="1:5" x14ac:dyDescent="0.25">
      <c r="A226" s="246" t="s">
        <v>7</v>
      </c>
      <c r="B226" s="246" t="s">
        <v>70</v>
      </c>
      <c r="C226" s="246" t="str">
        <f t="shared" si="10"/>
        <v>hq</v>
      </c>
      <c r="D226" s="246">
        <v>0</v>
      </c>
      <c r="E226" s="246" t="str">
        <f t="shared" si="9"/>
        <v/>
      </c>
    </row>
    <row r="227" spans="1:5" x14ac:dyDescent="0.25">
      <c r="A227" s="246" t="s">
        <v>7</v>
      </c>
      <c r="B227" s="246" t="s">
        <v>71</v>
      </c>
      <c r="C227" s="246" t="str">
        <f t="shared" si="10"/>
        <v>hr</v>
      </c>
      <c r="D227" s="246">
        <v>0</v>
      </c>
      <c r="E227" s="246" t="str">
        <f t="shared" si="9"/>
        <v/>
      </c>
    </row>
    <row r="228" spans="1:5" x14ac:dyDescent="0.25">
      <c r="A228" s="246" t="s">
        <v>7</v>
      </c>
      <c r="B228" s="246" t="s">
        <v>72</v>
      </c>
      <c r="C228" s="246" t="str">
        <f t="shared" si="10"/>
        <v>hs</v>
      </c>
      <c r="D228" s="246">
        <v>0</v>
      </c>
      <c r="E228" s="246" t="str">
        <f t="shared" si="9"/>
        <v/>
      </c>
    </row>
    <row r="229" spans="1:5" x14ac:dyDescent="0.25">
      <c r="A229" s="246" t="s">
        <v>7</v>
      </c>
      <c r="B229" s="246" t="s">
        <v>73</v>
      </c>
      <c r="C229" s="246" t="str">
        <f t="shared" si="10"/>
        <v>ht</v>
      </c>
      <c r="D229" s="246">
        <v>0</v>
      </c>
      <c r="E229" s="246" t="str">
        <f t="shared" si="9"/>
        <v/>
      </c>
    </row>
    <row r="230" spans="1:5" x14ac:dyDescent="0.25">
      <c r="A230" s="246" t="s">
        <v>7</v>
      </c>
      <c r="B230" s="246" t="s">
        <v>74</v>
      </c>
      <c r="C230" s="246" t="str">
        <f t="shared" si="10"/>
        <v>hu</v>
      </c>
      <c r="D230" s="246">
        <v>0</v>
      </c>
      <c r="E230" s="246" t="str">
        <f t="shared" si="9"/>
        <v/>
      </c>
    </row>
    <row r="231" spans="1:5" x14ac:dyDescent="0.25">
      <c r="A231" s="246" t="s">
        <v>7</v>
      </c>
      <c r="B231" s="246" t="s">
        <v>75</v>
      </c>
      <c r="C231" s="246" t="str">
        <f t="shared" si="10"/>
        <v>hv</v>
      </c>
      <c r="D231" s="246">
        <v>0</v>
      </c>
      <c r="E231" s="246" t="str">
        <f t="shared" si="9"/>
        <v/>
      </c>
    </row>
    <row r="232" spans="1:5" x14ac:dyDescent="0.25">
      <c r="A232" s="246" t="s">
        <v>7</v>
      </c>
      <c r="B232" s="246" t="s">
        <v>76</v>
      </c>
      <c r="C232" s="246" t="str">
        <f t="shared" si="10"/>
        <v>hw</v>
      </c>
      <c r="D232" s="246">
        <v>0</v>
      </c>
      <c r="E232" s="246" t="str">
        <f t="shared" si="9"/>
        <v/>
      </c>
    </row>
    <row r="233" spans="1:5" x14ac:dyDescent="0.25">
      <c r="A233" s="246" t="s">
        <v>7</v>
      </c>
      <c r="B233" s="246" t="s">
        <v>1</v>
      </c>
      <c r="C233" s="246" t="str">
        <f t="shared" si="10"/>
        <v>hx</v>
      </c>
      <c r="D233" s="246">
        <v>0</v>
      </c>
      <c r="E233" s="246" t="str">
        <f t="shared" si="9"/>
        <v/>
      </c>
    </row>
    <row r="234" spans="1:5" x14ac:dyDescent="0.25">
      <c r="A234" s="246" t="s">
        <v>7</v>
      </c>
      <c r="B234" s="246" t="s">
        <v>77</v>
      </c>
      <c r="C234" s="246" t="str">
        <f t="shared" si="10"/>
        <v>hy</v>
      </c>
      <c r="D234" s="246">
        <v>0</v>
      </c>
      <c r="E234" s="246" t="str">
        <f t="shared" si="9"/>
        <v/>
      </c>
    </row>
    <row r="235" spans="1:5" x14ac:dyDescent="0.25">
      <c r="A235" s="246" t="s">
        <v>7</v>
      </c>
      <c r="B235" s="246" t="s">
        <v>78</v>
      </c>
      <c r="C235" s="246" t="str">
        <f t="shared" si="10"/>
        <v>hz</v>
      </c>
      <c r="D235" s="246">
        <v>0</v>
      </c>
      <c r="E235" s="246" t="str">
        <f t="shared" si="9"/>
        <v/>
      </c>
    </row>
    <row r="236" spans="1:5" x14ac:dyDescent="0.25">
      <c r="A236" s="246" t="s">
        <v>64</v>
      </c>
      <c r="B236" s="246" t="s">
        <v>9</v>
      </c>
      <c r="C236" s="246" t="str">
        <f t="shared" si="10"/>
        <v>ia</v>
      </c>
      <c r="D236" s="246">
        <v>0</v>
      </c>
      <c r="E236" s="246" t="str">
        <f t="shared" si="9"/>
        <v/>
      </c>
    </row>
    <row r="237" spans="1:5" x14ac:dyDescent="0.25">
      <c r="A237" s="246" t="s">
        <v>64</v>
      </c>
      <c r="B237" s="246" t="s">
        <v>58</v>
      </c>
      <c r="C237" s="246" t="str">
        <f t="shared" si="10"/>
        <v>ib</v>
      </c>
      <c r="D237" s="246">
        <v>0</v>
      </c>
      <c r="E237" s="246" t="str">
        <f t="shared" si="9"/>
        <v/>
      </c>
    </row>
    <row r="238" spans="1:5" x14ac:dyDescent="0.25">
      <c r="A238" s="246" t="s">
        <v>64</v>
      </c>
      <c r="B238" s="246" t="s">
        <v>59</v>
      </c>
      <c r="C238" s="246" t="str">
        <f t="shared" si="10"/>
        <v>ic</v>
      </c>
      <c r="D238" s="246">
        <v>0</v>
      </c>
      <c r="E238" s="246" t="str">
        <f t="shared" si="9"/>
        <v/>
      </c>
    </row>
    <row r="239" spans="1:5" x14ac:dyDescent="0.25">
      <c r="A239" s="246" t="s">
        <v>64</v>
      </c>
      <c r="B239" s="246" t="s">
        <v>60</v>
      </c>
      <c r="C239" s="246" t="str">
        <f t="shared" si="10"/>
        <v>id</v>
      </c>
      <c r="D239" s="246">
        <v>0</v>
      </c>
      <c r="E239" s="246" t="str">
        <f t="shared" si="9"/>
        <v/>
      </c>
    </row>
    <row r="240" spans="1:5" x14ac:dyDescent="0.25">
      <c r="A240" s="246" t="s">
        <v>64</v>
      </c>
      <c r="B240" s="246" t="s">
        <v>61</v>
      </c>
      <c r="C240" s="246" t="str">
        <f t="shared" si="10"/>
        <v>ie</v>
      </c>
      <c r="D240" s="246">
        <v>0</v>
      </c>
      <c r="E240" s="246" t="str">
        <f t="shared" si="9"/>
        <v/>
      </c>
    </row>
    <row r="241" spans="1:5" x14ac:dyDescent="0.25">
      <c r="A241" s="246" t="s">
        <v>64</v>
      </c>
      <c r="B241" s="246" t="s">
        <v>62</v>
      </c>
      <c r="C241" s="246" t="str">
        <f t="shared" si="10"/>
        <v>if</v>
      </c>
      <c r="D241" s="246">
        <v>0</v>
      </c>
      <c r="E241" s="246" t="str">
        <f t="shared" si="9"/>
        <v/>
      </c>
    </row>
    <row r="242" spans="1:5" x14ac:dyDescent="0.25">
      <c r="A242" s="246" t="s">
        <v>64</v>
      </c>
      <c r="B242" s="246" t="s">
        <v>63</v>
      </c>
      <c r="C242" s="246" t="str">
        <f t="shared" si="10"/>
        <v>ig</v>
      </c>
      <c r="D242" s="246">
        <v>0</v>
      </c>
      <c r="E242" s="246" t="str">
        <f t="shared" si="9"/>
        <v/>
      </c>
    </row>
    <row r="243" spans="1:5" x14ac:dyDescent="0.25">
      <c r="A243" s="246" t="s">
        <v>64</v>
      </c>
      <c r="B243" s="246" t="s">
        <v>7</v>
      </c>
      <c r="C243" s="246" t="str">
        <f t="shared" si="10"/>
        <v>ih</v>
      </c>
      <c r="D243" s="246">
        <v>0</v>
      </c>
      <c r="E243" s="246" t="str">
        <f t="shared" si="9"/>
        <v/>
      </c>
    </row>
    <row r="244" spans="1:5" x14ac:dyDescent="0.25">
      <c r="A244" s="246" t="s">
        <v>64</v>
      </c>
      <c r="B244" s="246" t="s">
        <v>64</v>
      </c>
      <c r="C244" s="246" t="str">
        <f t="shared" si="10"/>
        <v>ii</v>
      </c>
      <c r="D244" s="246">
        <v>0</v>
      </c>
      <c r="E244" s="246" t="str">
        <f t="shared" si="9"/>
        <v/>
      </c>
    </row>
    <row r="245" spans="1:5" x14ac:dyDescent="0.25">
      <c r="A245" s="246" t="s">
        <v>64</v>
      </c>
      <c r="B245" s="246" t="s">
        <v>65</v>
      </c>
      <c r="C245" s="246" t="str">
        <f t="shared" si="10"/>
        <v>ij</v>
      </c>
      <c r="D245" s="246">
        <v>0</v>
      </c>
      <c r="E245" s="246" t="str">
        <f t="shared" si="9"/>
        <v/>
      </c>
    </row>
    <row r="246" spans="1:5" x14ac:dyDescent="0.25">
      <c r="A246" s="246" t="s">
        <v>64</v>
      </c>
      <c r="B246" s="246" t="s">
        <v>6</v>
      </c>
      <c r="C246" s="246" t="str">
        <f t="shared" si="10"/>
        <v>ik</v>
      </c>
      <c r="D246" s="246">
        <v>0</v>
      </c>
      <c r="E246" s="246" t="str">
        <f t="shared" si="9"/>
        <v/>
      </c>
    </row>
    <row r="247" spans="1:5" x14ac:dyDescent="0.25">
      <c r="A247" s="246" t="s">
        <v>64</v>
      </c>
      <c r="B247" s="246" t="s">
        <v>66</v>
      </c>
      <c r="C247" s="246" t="str">
        <f t="shared" si="10"/>
        <v>il</v>
      </c>
      <c r="D247" s="246">
        <v>0</v>
      </c>
      <c r="E247" s="246" t="str">
        <f t="shared" si="9"/>
        <v/>
      </c>
    </row>
    <row r="248" spans="1:5" x14ac:dyDescent="0.25">
      <c r="A248" s="246" t="s">
        <v>64</v>
      </c>
      <c r="B248" s="246" t="s">
        <v>67</v>
      </c>
      <c r="C248" s="246" t="str">
        <f t="shared" si="10"/>
        <v>im</v>
      </c>
      <c r="D248" s="246">
        <v>0</v>
      </c>
      <c r="E248" s="246" t="str">
        <f t="shared" si="9"/>
        <v/>
      </c>
    </row>
    <row r="249" spans="1:5" x14ac:dyDescent="0.25">
      <c r="A249" s="246" t="s">
        <v>64</v>
      </c>
      <c r="B249" s="246" t="s">
        <v>0</v>
      </c>
      <c r="C249" s="246" t="str">
        <f t="shared" si="10"/>
        <v>in</v>
      </c>
      <c r="D249" s="246">
        <v>0</v>
      </c>
      <c r="E249" s="246" t="str">
        <f t="shared" si="9"/>
        <v/>
      </c>
    </row>
    <row r="250" spans="1:5" x14ac:dyDescent="0.25">
      <c r="A250" s="246" t="s">
        <v>64</v>
      </c>
      <c r="B250" s="246" t="s">
        <v>68</v>
      </c>
      <c r="C250" s="246" t="str">
        <f t="shared" si="10"/>
        <v>io</v>
      </c>
      <c r="D250" s="246">
        <v>0</v>
      </c>
      <c r="E250" s="246" t="str">
        <f t="shared" si="9"/>
        <v/>
      </c>
    </row>
    <row r="251" spans="1:5" x14ac:dyDescent="0.25">
      <c r="A251" s="246" t="s">
        <v>64</v>
      </c>
      <c r="B251" s="246" t="s">
        <v>69</v>
      </c>
      <c r="C251" s="246" t="str">
        <f t="shared" si="10"/>
        <v>ip</v>
      </c>
      <c r="D251" s="246">
        <v>0</v>
      </c>
      <c r="E251" s="246" t="str">
        <f t="shared" si="9"/>
        <v/>
      </c>
    </row>
    <row r="252" spans="1:5" x14ac:dyDescent="0.25">
      <c r="A252" s="246" t="s">
        <v>64</v>
      </c>
      <c r="B252" s="246" t="s">
        <v>70</v>
      </c>
      <c r="C252" s="246" t="str">
        <f t="shared" si="10"/>
        <v>iq</v>
      </c>
      <c r="D252" s="246">
        <v>0</v>
      </c>
      <c r="E252" s="246" t="str">
        <f t="shared" si="9"/>
        <v/>
      </c>
    </row>
    <row r="253" spans="1:5" x14ac:dyDescent="0.25">
      <c r="A253" s="246" t="s">
        <v>64</v>
      </c>
      <c r="B253" s="246" t="s">
        <v>71</v>
      </c>
      <c r="C253" s="246" t="str">
        <f t="shared" si="10"/>
        <v>ir</v>
      </c>
      <c r="D253" s="246">
        <v>0</v>
      </c>
      <c r="E253" s="246" t="str">
        <f t="shared" si="9"/>
        <v/>
      </c>
    </row>
    <row r="254" spans="1:5" x14ac:dyDescent="0.25">
      <c r="A254" s="246" t="s">
        <v>64</v>
      </c>
      <c r="B254" s="246" t="s">
        <v>72</v>
      </c>
      <c r="C254" s="246" t="str">
        <f t="shared" si="10"/>
        <v>is</v>
      </c>
      <c r="D254" s="246">
        <v>0</v>
      </c>
      <c r="E254" s="246" t="str">
        <f t="shared" si="9"/>
        <v/>
      </c>
    </row>
    <row r="255" spans="1:5" x14ac:dyDescent="0.25">
      <c r="A255" s="246" t="s">
        <v>64</v>
      </c>
      <c r="B255" s="246" t="s">
        <v>73</v>
      </c>
      <c r="C255" s="246" t="str">
        <f t="shared" si="10"/>
        <v>it</v>
      </c>
      <c r="D255" s="246">
        <v>0</v>
      </c>
      <c r="E255" s="246" t="str">
        <f t="shared" si="9"/>
        <v/>
      </c>
    </row>
    <row r="256" spans="1:5" x14ac:dyDescent="0.25">
      <c r="A256" s="246" t="s">
        <v>64</v>
      </c>
      <c r="B256" s="246" t="s">
        <v>74</v>
      </c>
      <c r="C256" s="246" t="str">
        <f t="shared" si="10"/>
        <v>iu</v>
      </c>
      <c r="D256" s="246">
        <v>0</v>
      </c>
      <c r="E256" s="246" t="str">
        <f t="shared" si="9"/>
        <v/>
      </c>
    </row>
    <row r="257" spans="1:5" x14ac:dyDescent="0.25">
      <c r="A257" s="246" t="s">
        <v>64</v>
      </c>
      <c r="B257" s="246" t="s">
        <v>75</v>
      </c>
      <c r="C257" s="246" t="str">
        <f t="shared" si="10"/>
        <v>iv</v>
      </c>
      <c r="D257" s="246">
        <v>0</v>
      </c>
      <c r="E257" s="246" t="str">
        <f t="shared" si="9"/>
        <v/>
      </c>
    </row>
  </sheetData>
  <sheetProtection selectLockedCells="1" selectUnlockedCells="1"/>
  <phoneticPr fontId="26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/>
  <dimension ref="A1:N29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265625" defaultRowHeight="24.4" customHeight="1" x14ac:dyDescent="0.25"/>
  <cols>
    <col min="1" max="16384" width="10.7265625" style="84"/>
  </cols>
  <sheetData>
    <row r="1" spans="1:14" ht="24.4" customHeight="1" x14ac:dyDescent="0.25">
      <c r="A1" s="296" t="s">
        <v>46</v>
      </c>
      <c r="B1" s="289"/>
      <c r="C1" s="289"/>
      <c r="D1" s="289"/>
      <c r="E1" s="117"/>
    </row>
    <row r="2" spans="1:14" ht="24.4" customHeight="1" x14ac:dyDescent="0.25">
      <c r="B2" s="281" t="s">
        <v>114</v>
      </c>
      <c r="C2" s="95"/>
      <c r="D2" s="95"/>
      <c r="E2" s="94"/>
      <c r="F2" s="94"/>
      <c r="G2" s="94"/>
      <c r="H2" s="94"/>
      <c r="I2" s="94"/>
      <c r="J2" s="94"/>
      <c r="K2" s="94"/>
      <c r="L2" s="94"/>
    </row>
    <row r="3" spans="1:14" ht="24.4" customHeight="1" thickBot="1" x14ac:dyDescent="0.3">
      <c r="A3" s="120" t="s">
        <v>52</v>
      </c>
      <c r="B3" s="121"/>
      <c r="C3" s="91"/>
      <c r="D3" s="91"/>
      <c r="E3" s="91"/>
      <c r="F3" s="120" t="s">
        <v>53</v>
      </c>
      <c r="G3" s="121"/>
    </row>
    <row r="4" spans="1:14" ht="24.4" customHeight="1" x14ac:dyDescent="0.25">
      <c r="A4" s="145" t="s">
        <v>44</v>
      </c>
      <c r="B4" s="146"/>
      <c r="C4" s="173" t="s">
        <v>136</v>
      </c>
      <c r="D4" s="151"/>
      <c r="F4" s="145" t="s">
        <v>45</v>
      </c>
      <c r="G4" s="146"/>
      <c r="H4" s="173" t="s">
        <v>150</v>
      </c>
      <c r="I4" s="151"/>
      <c r="K4" s="182" t="s">
        <v>123</v>
      </c>
    </row>
    <row r="5" spans="1:14" ht="24.4" customHeight="1" thickBot="1" x14ac:dyDescent="0.3">
      <c r="A5" s="206">
        <f ca="1">COUNT(INDIRECT(pomocny!S15))</f>
        <v>15</v>
      </c>
      <c r="B5" s="169">
        <f ca="1">AVERAGE(INDIRECT(pomocny!S15))</f>
        <v>1998.8</v>
      </c>
      <c r="C5" s="169">
        <f ca="1">STDEV(INDIRECT(pomocny!S15))</f>
        <v>165.11260227060632</v>
      </c>
      <c r="D5" s="170">
        <f ca="1">VAR(INDIRECT(pomocny!S15))</f>
        <v>27262.17142857143</v>
      </c>
      <c r="F5" s="207">
        <f ca="1">COUNT(INDIRECT(pomocny!V15))</f>
        <v>9</v>
      </c>
      <c r="G5" s="208">
        <f ca="1">AVERAGE(INDIRECT(pomocny!V15))</f>
        <v>1946.4444444444443</v>
      </c>
      <c r="H5" s="208">
        <f ca="1">STDEV(INDIRECT(pomocny!V15))</f>
        <v>162.78368400358119</v>
      </c>
      <c r="I5" s="209">
        <f ca="1">VAR(INDIRECT(pomocny!V15))</f>
        <v>26498.527777777774</v>
      </c>
      <c r="K5" s="181">
        <v>0.05</v>
      </c>
    </row>
    <row r="6" spans="1:14" ht="24.4" customHeight="1" x14ac:dyDescent="0.25">
      <c r="A6" s="319" t="str">
        <f ca="1">IF(OR(A5&lt;30,F5&lt;30),"Není splněný doporučený rozsah výběrů!","")</f>
        <v>Není splněný doporučený rozsah výběrů!</v>
      </c>
      <c r="B6" s="87"/>
      <c r="C6" s="193"/>
      <c r="D6" s="193"/>
      <c r="E6" s="194"/>
      <c r="F6" s="195"/>
      <c r="G6" s="196"/>
      <c r="H6" s="196"/>
      <c r="I6" s="196"/>
    </row>
    <row r="7" spans="1:14" ht="24.4" customHeight="1" x14ac:dyDescent="0.25">
      <c r="A7" s="192" t="s">
        <v>55</v>
      </c>
      <c r="B7" s="90"/>
      <c r="C7" s="90"/>
      <c r="D7" s="90"/>
      <c r="E7" s="90"/>
      <c r="F7" s="81"/>
      <c r="G7" s="90"/>
      <c r="H7" s="96"/>
      <c r="I7" s="96"/>
      <c r="J7" s="96"/>
      <c r="K7" s="96"/>
    </row>
    <row r="8" spans="1:14" ht="24.4" customHeight="1" x14ac:dyDescent="0.25">
      <c r="A8" s="234"/>
      <c r="B8" s="91"/>
      <c r="C8" s="91"/>
      <c r="E8" s="91"/>
    </row>
    <row r="9" spans="1:14" ht="24.4" customHeight="1" x14ac:dyDescent="0.25">
      <c r="A9" s="234"/>
      <c r="B9" s="91"/>
      <c r="C9" s="91"/>
      <c r="E9" s="91"/>
      <c r="H9" s="354">
        <v>1</v>
      </c>
    </row>
    <row r="10" spans="1:14" ht="24.4" customHeight="1" thickBot="1" x14ac:dyDescent="0.3">
      <c r="A10" s="234"/>
      <c r="B10" s="91"/>
      <c r="C10" s="91"/>
      <c r="E10" s="91"/>
      <c r="I10" s="197" t="s">
        <v>91</v>
      </c>
      <c r="J10" s="197"/>
    </row>
    <row r="11" spans="1:14" ht="24.4" customHeight="1" x14ac:dyDescent="0.25">
      <c r="A11" s="145" t="s">
        <v>18</v>
      </c>
      <c r="B11" s="173" t="s">
        <v>74</v>
      </c>
      <c r="C11" s="173" t="s">
        <v>196</v>
      </c>
      <c r="D11" s="173" t="s">
        <v>141</v>
      </c>
      <c r="E11" s="173" t="s">
        <v>86</v>
      </c>
      <c r="F11" s="146" t="s">
        <v>19</v>
      </c>
      <c r="G11" s="151" t="s">
        <v>20</v>
      </c>
      <c r="I11" s="171" t="s">
        <v>129</v>
      </c>
      <c r="J11" s="167" t="s">
        <v>130</v>
      </c>
      <c r="K11" s="96"/>
    </row>
    <row r="12" spans="1:14" ht="24.4" customHeight="1" thickBot="1" x14ac:dyDescent="0.3">
      <c r="A12" s="344">
        <f>1-K5</f>
        <v>0.95</v>
      </c>
      <c r="B12" s="149">
        <f ca="1">(B5-G5)/SQRT(D5/A5+I5/F5)</f>
        <v>0.75871569577581133</v>
      </c>
      <c r="C12" s="331" t="str">
        <f ca="1">IF(E12&lt;=K5,"ano","ne")</f>
        <v>ne</v>
      </c>
      <c r="D12" s="149">
        <f>IF(H9=1,J12,IF(H9=2,I12,-I12))</f>
        <v>1.9599639845400536</v>
      </c>
      <c r="E12" s="149">
        <f ca="1">IF(H9=1,2*MIN(NORMSDIST(B12),1-NORMSDIST(B12)),IF(H9=2,1-NORMSDIST(B12),NORMSDIST(B12)))</f>
        <v>0.44802264563058558</v>
      </c>
      <c r="F12" s="149" t="str">
        <f ca="1">IF(C12="ano","zamítá se","nezamítá se")</f>
        <v>nezamítá se</v>
      </c>
      <c r="G12" s="332" t="str">
        <f ca="1">IF(C12="ano","se přijme","x")</f>
        <v>x</v>
      </c>
      <c r="I12" s="172">
        <f>NORMSINV(1-K5)</f>
        <v>1.6448536269514715</v>
      </c>
      <c r="J12" s="170">
        <f>NORMSINV(1-K5/2)</f>
        <v>1.9599639845400536</v>
      </c>
      <c r="K12" s="96"/>
    </row>
    <row r="13" spans="1:14" ht="24.4" customHeight="1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</row>
    <row r="14" spans="1:14" ht="24.4" customHeight="1" x14ac:dyDescent="0.25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</row>
    <row r="15" spans="1:14" ht="24.4" customHeight="1" thickBot="1" x14ac:dyDescent="0.3">
      <c r="A15" s="347"/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</row>
    <row r="16" spans="1:14" ht="24.4" customHeight="1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4" ht="24.4" customHeight="1" x14ac:dyDescent="0.25">
      <c r="A17" s="304" t="s">
        <v>183</v>
      </c>
    </row>
    <row r="18" spans="1:14" ht="24.4" customHeight="1" x14ac:dyDescent="0.25">
      <c r="A18" s="234" t="s">
        <v>189</v>
      </c>
    </row>
    <row r="19" spans="1:14" ht="24.4" customHeight="1" thickBot="1" x14ac:dyDescent="0.3">
      <c r="A19" s="120" t="s">
        <v>52</v>
      </c>
      <c r="B19" s="121"/>
      <c r="C19" s="91"/>
      <c r="D19" s="91"/>
      <c r="E19" s="91"/>
      <c r="F19" s="120" t="s">
        <v>53</v>
      </c>
      <c r="G19" s="121"/>
      <c r="M19" s="176" t="s">
        <v>185</v>
      </c>
      <c r="N19" s="176"/>
    </row>
    <row r="20" spans="1:14" ht="24.4" customHeight="1" x14ac:dyDescent="0.25">
      <c r="A20" s="145" t="s">
        <v>44</v>
      </c>
      <c r="B20" s="146"/>
      <c r="C20" s="198" t="s">
        <v>136</v>
      </c>
      <c r="D20" s="324"/>
      <c r="F20" s="145" t="s">
        <v>45</v>
      </c>
      <c r="G20" s="146"/>
      <c r="H20" s="198" t="s">
        <v>150</v>
      </c>
      <c r="I20" s="324"/>
      <c r="K20" s="182" t="s">
        <v>123</v>
      </c>
      <c r="M20" s="143" t="s">
        <v>186</v>
      </c>
      <c r="N20" s="326">
        <v>2.0449999999999999</v>
      </c>
    </row>
    <row r="21" spans="1:14" ht="24.4" customHeight="1" thickBot="1" x14ac:dyDescent="0.3">
      <c r="A21" s="313">
        <v>25</v>
      </c>
      <c r="B21" s="311">
        <v>200.32</v>
      </c>
      <c r="C21" s="320">
        <v>3.2879999999999998</v>
      </c>
      <c r="D21" s="323">
        <f>C21^2</f>
        <v>10.810943999999999</v>
      </c>
      <c r="E21" s="305"/>
      <c r="F21" s="303">
        <v>16</v>
      </c>
      <c r="G21" s="311">
        <v>200.35599999999999</v>
      </c>
      <c r="H21" s="320">
        <v>1.4300349999999999</v>
      </c>
      <c r="I21" s="323">
        <f>H21^2</f>
        <v>2.0450001012249999</v>
      </c>
      <c r="K21" s="181">
        <v>0.05</v>
      </c>
      <c r="M21" s="325" t="s">
        <v>187</v>
      </c>
      <c r="N21" s="327">
        <f>SQRT(N20)</f>
        <v>1.4300349646075092</v>
      </c>
    </row>
    <row r="22" spans="1:14" ht="24.4" customHeight="1" x14ac:dyDescent="0.25">
      <c r="A22" s="319" t="str">
        <f>IF(OR(A21&lt;30,F21&lt;30),"Není splněný doporučený rozsah výběrů!","")</f>
        <v>Není splněný doporučený rozsah výběrů!</v>
      </c>
      <c r="B22" s="87"/>
      <c r="C22" s="193"/>
      <c r="D22" s="193"/>
      <c r="E22" s="194"/>
      <c r="F22" s="195"/>
      <c r="G22" s="196"/>
      <c r="H22" s="196"/>
      <c r="I22" s="196"/>
    </row>
    <row r="23" spans="1:14" ht="24.4" customHeight="1" x14ac:dyDescent="0.25">
      <c r="A23" s="192" t="s">
        <v>55</v>
      </c>
      <c r="B23" s="90"/>
      <c r="C23" s="90"/>
      <c r="D23" s="90"/>
      <c r="E23" s="90"/>
      <c r="F23" s="81"/>
      <c r="G23" s="90"/>
      <c r="H23" s="96"/>
      <c r="I23" s="96"/>
      <c r="J23" s="96"/>
      <c r="K23" s="96"/>
    </row>
    <row r="24" spans="1:14" ht="24.4" customHeight="1" x14ac:dyDescent="0.25">
      <c r="A24" s="234"/>
      <c r="B24" s="91"/>
      <c r="C24" s="91"/>
      <c r="E24" s="91"/>
    </row>
    <row r="25" spans="1:14" ht="24.4" customHeight="1" x14ac:dyDescent="0.25">
      <c r="A25" s="234"/>
      <c r="B25" s="91"/>
      <c r="C25" s="91"/>
      <c r="E25" s="91"/>
      <c r="H25" s="354">
        <v>1</v>
      </c>
      <c r="I25" s="96"/>
    </row>
    <row r="26" spans="1:14" ht="24.4" customHeight="1" thickBot="1" x14ac:dyDescent="0.3">
      <c r="A26" s="234"/>
      <c r="B26" s="91"/>
      <c r="C26" s="91"/>
      <c r="E26" s="91"/>
      <c r="I26" s="197" t="s">
        <v>91</v>
      </c>
      <c r="J26" s="197"/>
    </row>
    <row r="27" spans="1:14" ht="24.4" customHeight="1" x14ac:dyDescent="0.25">
      <c r="A27" s="145" t="s">
        <v>18</v>
      </c>
      <c r="B27" s="173" t="s">
        <v>74</v>
      </c>
      <c r="C27" s="173" t="s">
        <v>196</v>
      </c>
      <c r="D27" s="173" t="s">
        <v>141</v>
      </c>
      <c r="E27" s="173" t="s">
        <v>86</v>
      </c>
      <c r="F27" s="146" t="s">
        <v>19</v>
      </c>
      <c r="G27" s="151" t="s">
        <v>20</v>
      </c>
      <c r="I27" s="171" t="s">
        <v>129</v>
      </c>
      <c r="J27" s="167" t="s">
        <v>130</v>
      </c>
      <c r="K27" s="96"/>
    </row>
    <row r="28" spans="1:14" ht="24.4" customHeight="1" thickBot="1" x14ac:dyDescent="0.3">
      <c r="A28" s="344">
        <f>1-K21</f>
        <v>0.95</v>
      </c>
      <c r="B28" s="149">
        <f>(B21-G21)/SQRT(D21/A21+I21/F21)</f>
        <v>-4.8096277531589279E-2</v>
      </c>
      <c r="C28" s="331" t="str">
        <f>IF(E28&lt;=K21,"ano","ne")</f>
        <v>ne</v>
      </c>
      <c r="D28" s="149">
        <f>IF(H25=1,J28,IF(H25=2,I28,-I28))</f>
        <v>1.9599639845400536</v>
      </c>
      <c r="E28" s="149">
        <f>IF(H25=1,2*MIN(NORMSDIST(B28),1-NORMSDIST(B28)),IF(H25=2,1-NORMSDIST(B28),NORMSDIST(B28)))</f>
        <v>0.96163951287367766</v>
      </c>
      <c r="F28" s="149" t="str">
        <f>IF(C28="ano","zamítá se","nezamítá se")</f>
        <v>nezamítá se</v>
      </c>
      <c r="G28" s="332" t="str">
        <f>IF(C28="ano","se přijme","x")</f>
        <v>x</v>
      </c>
      <c r="I28" s="172">
        <f>NORMSINV(1-K21)</f>
        <v>1.6448536269514715</v>
      </c>
      <c r="J28" s="170">
        <f>NORMSINV(1-K21/2)</f>
        <v>1.9599639845400536</v>
      </c>
      <c r="K28" s="96"/>
    </row>
    <row r="29" spans="1:14" ht="24.4" customHeight="1" x14ac:dyDescent="0.25">
      <c r="J29" s="84" t="s">
        <v>198</v>
      </c>
    </row>
  </sheetData>
  <sheetProtection password="DBEF" sheet="1" objects="1" scenarios="1" formatCells="0"/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scale="73" orientation="portrait" horizontalDpi="180" verticalDpi="180" r:id="rId1"/>
  <headerFooter alignWithMargins="0">
    <oddHeader>&amp;C&amp;11Zpracování výběrového šetření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6413" r:id="rId4">
          <objectPr defaultSize="0" autoLine="0" r:id="rId5">
            <anchor moveWithCells="1">
              <from>
                <xdr:col>8</xdr:col>
                <xdr:colOff>203200</xdr:colOff>
                <xdr:row>3</xdr:row>
                <xdr:rowOff>57150</xdr:rowOff>
              </from>
              <to>
                <xdr:col>8</xdr:col>
                <xdr:colOff>552450</xdr:colOff>
                <xdr:row>3</xdr:row>
                <xdr:rowOff>279400</xdr:rowOff>
              </to>
            </anchor>
          </objectPr>
        </oleObject>
      </mc:Choice>
      <mc:Fallback>
        <oleObject progId="Equation.3" shapeId="16413" r:id="rId4"/>
      </mc:Fallback>
    </mc:AlternateContent>
    <mc:AlternateContent xmlns:mc="http://schemas.openxmlformats.org/markup-compatibility/2006">
      <mc:Choice Requires="x14">
        <oleObject progId="Equation.3" shapeId="16414" r:id="rId6">
          <objectPr defaultSize="0" autoLine="0" r:id="rId7">
            <anchor moveWithCells="1">
              <from>
                <xdr:col>6</xdr:col>
                <xdr:colOff>317500</xdr:colOff>
                <xdr:row>3</xdr:row>
                <xdr:rowOff>88900</xdr:rowOff>
              </from>
              <to>
                <xdr:col>6</xdr:col>
                <xdr:colOff>438150</xdr:colOff>
                <xdr:row>3</xdr:row>
                <xdr:rowOff>279400</xdr:rowOff>
              </to>
            </anchor>
          </objectPr>
        </oleObject>
      </mc:Choice>
      <mc:Fallback>
        <oleObject progId="Equation.3" shapeId="16414" r:id="rId6"/>
      </mc:Fallback>
    </mc:AlternateContent>
    <mc:AlternateContent xmlns:mc="http://schemas.openxmlformats.org/markup-compatibility/2006">
      <mc:Choice Requires="x14">
        <oleObject progId="Equation.3" shapeId="16501" r:id="rId8">
          <objectPr defaultSize="0" autoLine="0" r:id="rId5">
            <anchor moveWithCells="1">
              <from>
                <xdr:col>8</xdr:col>
                <xdr:colOff>203200</xdr:colOff>
                <xdr:row>19</xdr:row>
                <xdr:rowOff>57150</xdr:rowOff>
              </from>
              <to>
                <xdr:col>8</xdr:col>
                <xdr:colOff>552450</xdr:colOff>
                <xdr:row>19</xdr:row>
                <xdr:rowOff>279400</xdr:rowOff>
              </to>
            </anchor>
          </objectPr>
        </oleObject>
      </mc:Choice>
      <mc:Fallback>
        <oleObject progId="Equation.3" shapeId="16501" r:id="rId8"/>
      </mc:Fallback>
    </mc:AlternateContent>
    <mc:AlternateContent xmlns:mc="http://schemas.openxmlformats.org/markup-compatibility/2006">
      <mc:Choice Requires="x14">
        <oleObject progId="Equation.3" shapeId="16502" r:id="rId9">
          <objectPr defaultSize="0" autoLine="0" r:id="rId7">
            <anchor moveWithCells="1">
              <from>
                <xdr:col>6</xdr:col>
                <xdr:colOff>317500</xdr:colOff>
                <xdr:row>19</xdr:row>
                <xdr:rowOff>88900</xdr:rowOff>
              </from>
              <to>
                <xdr:col>6</xdr:col>
                <xdr:colOff>438150</xdr:colOff>
                <xdr:row>19</xdr:row>
                <xdr:rowOff>279400</xdr:rowOff>
              </to>
            </anchor>
          </objectPr>
        </oleObject>
      </mc:Choice>
      <mc:Fallback>
        <oleObject progId="Equation.3" shapeId="16502" r:id="rId9"/>
      </mc:Fallback>
    </mc:AlternateContent>
    <mc:AlternateContent xmlns:mc="http://schemas.openxmlformats.org/markup-compatibility/2006">
      <mc:Choice Requires="x14">
        <oleObject progId="Equation.3" shapeId="16672" r:id="rId10">
          <objectPr defaultSize="0" autoLine="0" r:id="rId11">
            <anchor moveWithCells="1">
              <from>
                <xdr:col>0</xdr:col>
                <xdr:colOff>552450</xdr:colOff>
                <xdr:row>24</xdr:row>
                <xdr:rowOff>31750</xdr:rowOff>
              </from>
              <to>
                <xdr:col>1</xdr:col>
                <xdr:colOff>279400</xdr:colOff>
                <xdr:row>24</xdr:row>
                <xdr:rowOff>247650</xdr:rowOff>
              </to>
            </anchor>
          </objectPr>
        </oleObject>
      </mc:Choice>
      <mc:Fallback>
        <oleObject progId="Equation.3" shapeId="16672" r:id="rId10"/>
      </mc:Fallback>
    </mc:AlternateContent>
    <mc:AlternateContent xmlns:mc="http://schemas.openxmlformats.org/markup-compatibility/2006">
      <mc:Choice Requires="x14">
        <oleObject progId="Equation.3" shapeId="16673" r:id="rId12">
          <objectPr defaultSize="0" autoLine="0" r:id="rId11">
            <anchor moveWithCells="1">
              <from>
                <xdr:col>0</xdr:col>
                <xdr:colOff>565150</xdr:colOff>
                <xdr:row>8</xdr:row>
                <xdr:rowOff>50800</xdr:rowOff>
              </from>
              <to>
                <xdr:col>1</xdr:col>
                <xdr:colOff>285750</xdr:colOff>
                <xdr:row>8</xdr:row>
                <xdr:rowOff>260350</xdr:rowOff>
              </to>
            </anchor>
          </objectPr>
        </oleObject>
      </mc:Choice>
      <mc:Fallback>
        <oleObject progId="Equation.3" shapeId="16673" r:id="rId12"/>
      </mc:Fallback>
    </mc:AlternateContent>
    <mc:AlternateContent xmlns:mc="http://schemas.openxmlformats.org/markup-compatibility/2006">
      <mc:Choice Requires="x14">
        <oleObject progId="Equation.3" shapeId="16751" r:id="rId13">
          <objectPr defaultSize="0" autoLine="0" autoPict="0" r:id="rId14">
            <anchor moveWithCells="1">
              <from>
                <xdr:col>3</xdr:col>
                <xdr:colOff>107950</xdr:colOff>
                <xdr:row>8</xdr:row>
                <xdr:rowOff>31750</xdr:rowOff>
              </from>
              <to>
                <xdr:col>3</xdr:col>
                <xdr:colOff>603250</xdr:colOff>
                <xdr:row>8</xdr:row>
                <xdr:rowOff>260350</xdr:rowOff>
              </to>
            </anchor>
          </objectPr>
        </oleObject>
      </mc:Choice>
      <mc:Fallback>
        <oleObject progId="Equation.3" shapeId="16751" r:id="rId13"/>
      </mc:Fallback>
    </mc:AlternateContent>
    <mc:AlternateContent xmlns:mc="http://schemas.openxmlformats.org/markup-compatibility/2006">
      <mc:Choice Requires="x14">
        <oleObject progId="Equation.3" shapeId="16752" r:id="rId15">
          <objectPr defaultSize="0" autoLine="0" r:id="rId16">
            <anchor moveWithCells="1">
              <from>
                <xdr:col>4</xdr:col>
                <xdr:colOff>469900</xdr:colOff>
                <xdr:row>8</xdr:row>
                <xdr:rowOff>50800</xdr:rowOff>
              </from>
              <to>
                <xdr:col>5</xdr:col>
                <xdr:colOff>203200</xdr:colOff>
                <xdr:row>8</xdr:row>
                <xdr:rowOff>260350</xdr:rowOff>
              </to>
            </anchor>
          </objectPr>
        </oleObject>
      </mc:Choice>
      <mc:Fallback>
        <oleObject progId="Equation.3" shapeId="16752" r:id="rId15"/>
      </mc:Fallback>
    </mc:AlternateContent>
    <mc:AlternateContent xmlns:mc="http://schemas.openxmlformats.org/markup-compatibility/2006">
      <mc:Choice Requires="x14">
        <oleObject progId="Equation.3" shapeId="16753" r:id="rId17">
          <objectPr defaultSize="0" autoLine="0" r:id="rId18">
            <anchor moveWithCells="1">
              <from>
                <xdr:col>5</xdr:col>
                <xdr:colOff>723900</xdr:colOff>
                <xdr:row>8</xdr:row>
                <xdr:rowOff>50800</xdr:rowOff>
              </from>
              <to>
                <xdr:col>6</xdr:col>
                <xdr:colOff>450850</xdr:colOff>
                <xdr:row>8</xdr:row>
                <xdr:rowOff>266700</xdr:rowOff>
              </to>
            </anchor>
          </objectPr>
        </oleObject>
      </mc:Choice>
      <mc:Fallback>
        <oleObject progId="Equation.3" shapeId="16753" r:id="rId17"/>
      </mc:Fallback>
    </mc:AlternateContent>
    <mc:AlternateContent xmlns:mc="http://schemas.openxmlformats.org/markup-compatibility/2006">
      <mc:Choice Requires="x14">
        <oleObject progId="Equation.3" shapeId="16759" r:id="rId19">
          <objectPr defaultSize="0" autoLine="0" autoPict="0" r:id="rId14">
            <anchor moveWithCells="1">
              <from>
                <xdr:col>3</xdr:col>
                <xdr:colOff>107950</xdr:colOff>
                <xdr:row>24</xdr:row>
                <xdr:rowOff>31750</xdr:rowOff>
              </from>
              <to>
                <xdr:col>3</xdr:col>
                <xdr:colOff>603250</xdr:colOff>
                <xdr:row>24</xdr:row>
                <xdr:rowOff>260350</xdr:rowOff>
              </to>
            </anchor>
          </objectPr>
        </oleObject>
      </mc:Choice>
      <mc:Fallback>
        <oleObject progId="Equation.3" shapeId="16759" r:id="rId19"/>
      </mc:Fallback>
    </mc:AlternateContent>
    <mc:AlternateContent xmlns:mc="http://schemas.openxmlformats.org/markup-compatibility/2006">
      <mc:Choice Requires="x14">
        <oleObject progId="Equation.3" shapeId="16760" r:id="rId20">
          <objectPr defaultSize="0" autoLine="0" r:id="rId16">
            <anchor moveWithCells="1">
              <from>
                <xdr:col>4</xdr:col>
                <xdr:colOff>469900</xdr:colOff>
                <xdr:row>24</xdr:row>
                <xdr:rowOff>50800</xdr:rowOff>
              </from>
              <to>
                <xdr:col>5</xdr:col>
                <xdr:colOff>203200</xdr:colOff>
                <xdr:row>24</xdr:row>
                <xdr:rowOff>260350</xdr:rowOff>
              </to>
            </anchor>
          </objectPr>
        </oleObject>
      </mc:Choice>
      <mc:Fallback>
        <oleObject progId="Equation.3" shapeId="16760" r:id="rId20"/>
      </mc:Fallback>
    </mc:AlternateContent>
    <mc:AlternateContent xmlns:mc="http://schemas.openxmlformats.org/markup-compatibility/2006">
      <mc:Choice Requires="x14">
        <oleObject progId="Equation.3" shapeId="16761" r:id="rId21">
          <objectPr defaultSize="0" autoLine="0" r:id="rId18">
            <anchor moveWithCells="1">
              <from>
                <xdr:col>5</xdr:col>
                <xdr:colOff>723900</xdr:colOff>
                <xdr:row>24</xdr:row>
                <xdr:rowOff>50800</xdr:rowOff>
              </from>
              <to>
                <xdr:col>6</xdr:col>
                <xdr:colOff>450850</xdr:colOff>
                <xdr:row>24</xdr:row>
                <xdr:rowOff>266700</xdr:rowOff>
              </to>
            </anchor>
          </objectPr>
        </oleObject>
      </mc:Choice>
      <mc:Fallback>
        <oleObject progId="Equation.3" shapeId="16761" r:id="rId21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402" r:id="rId22" name="Drop Down 18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23" name="Drop Down 19">
              <controlPr defaultSize="0" autoLine="0" autoPict="0">
                <anchor moveWithCells="1">
                  <from>
                    <xdr:col>6</xdr:col>
                    <xdr:colOff>12700</xdr:colOff>
                    <xdr:row>0</xdr:row>
                    <xdr:rowOff>304800</xdr:rowOff>
                  </from>
                  <to>
                    <xdr:col>8</xdr:col>
                    <xdr:colOff>171450</xdr:colOff>
                    <xdr:row>1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2" r:id="rId24" name="Group Box 228">
              <controlPr defaultSize="0" autoFill="0" autoPict="0">
                <anchor moveWithCells="1">
                  <from>
                    <xdr:col>0</xdr:col>
                    <xdr:colOff>133350</xdr:colOff>
                    <xdr:row>7</xdr:row>
                    <xdr:rowOff>146050</xdr:rowOff>
                  </from>
                  <to>
                    <xdr:col>1</xdr:col>
                    <xdr:colOff>685800</xdr:colOff>
                    <xdr:row>9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4" r:id="rId25" name="Option Button 230">
              <controlPr defaultSize="0" autoFill="0" autoLine="0" autoPict="0">
                <anchor moveWithCells="1">
                  <from>
                    <xdr:col>2</xdr:col>
                    <xdr:colOff>552450</xdr:colOff>
                    <xdr:row>8</xdr:row>
                    <xdr:rowOff>31750</xdr:rowOff>
                  </from>
                  <to>
                    <xdr:col>3</xdr:col>
                    <xdr:colOff>133350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5" r:id="rId26" name="Option Button 231">
              <controlPr defaultSize="0" autoFill="0" autoLine="0" autoPict="0">
                <anchor moveWithCells="1">
                  <from>
                    <xdr:col>4</xdr:col>
                    <xdr:colOff>171450</xdr:colOff>
                    <xdr:row>8</xdr:row>
                    <xdr:rowOff>31750</xdr:rowOff>
                  </from>
                  <to>
                    <xdr:col>4</xdr:col>
                    <xdr:colOff>476250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16" r:id="rId27" name="Option Button 232">
              <controlPr defaultSize="0" autoFill="0" autoLine="0" autoPict="0">
                <anchor moveWithCells="1">
                  <from>
                    <xdr:col>5</xdr:col>
                    <xdr:colOff>431800</xdr:colOff>
                    <xdr:row>8</xdr:row>
                    <xdr:rowOff>50800</xdr:rowOff>
                  </from>
                  <to>
                    <xdr:col>6</xdr:col>
                    <xdr:colOff>12700</xdr:colOff>
                    <xdr:row>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1" r:id="rId28" name="Group Box 237">
              <controlPr defaultSize="0" autoFill="0" autoPict="0">
                <anchor moveWithCells="1">
                  <from>
                    <xdr:col>0</xdr:col>
                    <xdr:colOff>133350</xdr:colOff>
                    <xdr:row>23</xdr:row>
                    <xdr:rowOff>133350</xdr:rowOff>
                  </from>
                  <to>
                    <xdr:col>1</xdr:col>
                    <xdr:colOff>685800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3" r:id="rId29" name="Option Button 239">
              <controlPr defaultSize="0" autoFill="0" autoLine="0" autoPict="0">
                <anchor moveWithCells="1">
                  <from>
                    <xdr:col>2</xdr:col>
                    <xdr:colOff>552450</xdr:colOff>
                    <xdr:row>24</xdr:row>
                    <xdr:rowOff>31750</xdr:rowOff>
                  </from>
                  <to>
                    <xdr:col>3</xdr:col>
                    <xdr:colOff>133350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4" r:id="rId30" name="Option Button 240">
              <controlPr defaultSize="0" autoFill="0" autoLine="0" autoPict="0">
                <anchor moveWithCells="1">
                  <from>
                    <xdr:col>4</xdr:col>
                    <xdr:colOff>171450</xdr:colOff>
                    <xdr:row>24</xdr:row>
                    <xdr:rowOff>31750</xdr:rowOff>
                  </from>
                  <to>
                    <xdr:col>4</xdr:col>
                    <xdr:colOff>476250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625" r:id="rId31" name="Option Button 241">
              <controlPr defaultSize="0" autoFill="0" autoLine="0" autoPict="0">
                <anchor moveWithCells="1">
                  <from>
                    <xdr:col>5</xdr:col>
                    <xdr:colOff>431800</xdr:colOff>
                    <xdr:row>24</xdr:row>
                    <xdr:rowOff>50800</xdr:rowOff>
                  </from>
                  <to>
                    <xdr:col>6</xdr:col>
                    <xdr:colOff>12700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50" r:id="rId32" name="Group Box 366">
              <controlPr defaultSize="0" autoFill="0" autoPict="0">
                <anchor moveWithCells="1">
                  <from>
                    <xdr:col>2</xdr:col>
                    <xdr:colOff>317500</xdr:colOff>
                    <xdr:row>7</xdr:row>
                    <xdr:rowOff>146050</xdr:rowOff>
                  </from>
                  <to>
                    <xdr:col>6</xdr:col>
                    <xdr:colOff>723900</xdr:colOff>
                    <xdr:row>9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58" r:id="rId33" name="Group Box 374">
              <controlPr defaultSize="0" autoFill="0" autoPict="0">
                <anchor moveWithCells="1">
                  <from>
                    <xdr:col>2</xdr:col>
                    <xdr:colOff>317500</xdr:colOff>
                    <xdr:row>23</xdr:row>
                    <xdr:rowOff>146050</xdr:rowOff>
                  </from>
                  <to>
                    <xdr:col>6</xdr:col>
                    <xdr:colOff>723900</xdr:colOff>
                    <xdr:row>25</xdr:row>
                    <xdr:rowOff>107950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/>
  <dimension ref="A1:Q28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265625" defaultRowHeight="24.4" customHeight="1" x14ac:dyDescent="0.25"/>
  <cols>
    <col min="1" max="16384" width="10.7265625" style="84"/>
  </cols>
  <sheetData>
    <row r="1" spans="1:17" ht="24.4" customHeight="1" x14ac:dyDescent="0.25">
      <c r="A1" s="290" t="s">
        <v>95</v>
      </c>
      <c r="B1" s="290"/>
      <c r="C1" s="290"/>
      <c r="D1" s="290"/>
      <c r="E1" s="290"/>
    </row>
    <row r="2" spans="1:17" ht="24.4" customHeight="1" x14ac:dyDescent="0.25">
      <c r="B2" s="281" t="s">
        <v>114</v>
      </c>
      <c r="C2" s="95"/>
      <c r="D2" s="95"/>
      <c r="E2" s="94"/>
      <c r="F2" s="94"/>
      <c r="G2" s="94"/>
      <c r="H2" s="94"/>
      <c r="I2" s="94"/>
      <c r="J2" s="94"/>
      <c r="K2" s="94"/>
      <c r="L2" s="94"/>
    </row>
    <row r="3" spans="1:17" ht="24.4" customHeight="1" thickBot="1" x14ac:dyDescent="0.3">
      <c r="A3" s="120" t="s">
        <v>52</v>
      </c>
      <c r="B3" s="121"/>
      <c r="C3" s="91"/>
      <c r="D3" s="91"/>
      <c r="E3" s="91"/>
      <c r="F3" s="120" t="s">
        <v>53</v>
      </c>
      <c r="G3" s="121"/>
      <c r="M3" s="123" t="s">
        <v>93</v>
      </c>
    </row>
    <row r="4" spans="1:17" ht="24.4" customHeight="1" x14ac:dyDescent="0.25">
      <c r="A4" s="145" t="s">
        <v>44</v>
      </c>
      <c r="B4" s="146"/>
      <c r="C4" s="173" t="s">
        <v>136</v>
      </c>
      <c r="D4" s="151"/>
      <c r="F4" s="145" t="s">
        <v>45</v>
      </c>
      <c r="G4" s="146"/>
      <c r="H4" s="173" t="s">
        <v>150</v>
      </c>
      <c r="I4" s="151"/>
      <c r="K4" s="201" t="s">
        <v>123</v>
      </c>
      <c r="M4" s="204"/>
      <c r="N4" s="203" t="s">
        <v>96</v>
      </c>
    </row>
    <row r="5" spans="1:17" ht="24.4" customHeight="1" thickBot="1" x14ac:dyDescent="0.3">
      <c r="A5" s="206">
        <f ca="1">COUNT(INDIRECT(pomocny!Y6))</f>
        <v>9</v>
      </c>
      <c r="B5" s="169">
        <f ca="1">AVERAGE(INDIRECT(pomocny!Y6))</f>
        <v>130.22222222222223</v>
      </c>
      <c r="C5" s="169">
        <f ca="1">STDEV(INDIRECT(pomocny!Y6))</f>
        <v>22.862511770241809</v>
      </c>
      <c r="D5" s="170">
        <f ca="1">VAR(INDIRECT(pomocny!Y6))</f>
        <v>522.69444444444525</v>
      </c>
      <c r="F5" s="207">
        <f ca="1">COUNT(INDIRECT(pomocny!AB6))</f>
        <v>9</v>
      </c>
      <c r="G5" s="208">
        <f ca="1">AVERAGE(INDIRECT(pomocny!AB6))</f>
        <v>133.22222222222223</v>
      </c>
      <c r="H5" s="208">
        <f ca="1">STDEV(INDIRECT(pomocny!AB6))</f>
        <v>19.689957959438239</v>
      </c>
      <c r="I5" s="209">
        <f ca="1">VAR(INDIRECT(pomocny!AB6))</f>
        <v>387.69444444444525</v>
      </c>
      <c r="K5" s="202">
        <v>0.05</v>
      </c>
      <c r="M5" s="226">
        <f ca="1">B5-G5</f>
        <v>-3</v>
      </c>
      <c r="N5" s="227">
        <f ca="1">SQRT(D5+I5-2*A5/(A5-1)*COVAR(INDIRECT(pomocny!Y7),INDIRECT(pomocny!AB7)))</f>
        <v>3.640054944640478</v>
      </c>
    </row>
    <row r="6" spans="1:17" s="96" customFormat="1" ht="24.4" customHeight="1" x14ac:dyDescent="0.25">
      <c r="A6" s="199" t="str">
        <f ca="1">IF(A5=F5,"","Rozsahy výběrů musí být stejné!")</f>
        <v/>
      </c>
      <c r="B6" s="90"/>
      <c r="C6" s="90"/>
      <c r="D6" s="90"/>
      <c r="H6" s="90"/>
      <c r="I6" s="90"/>
      <c r="J6" s="90"/>
      <c r="N6" s="97"/>
      <c r="O6" s="97"/>
      <c r="P6" s="97"/>
      <c r="Q6" s="97"/>
    </row>
    <row r="7" spans="1:17" ht="24.4" customHeight="1" x14ac:dyDescent="0.25">
      <c r="A7" s="192" t="s">
        <v>55</v>
      </c>
      <c r="O7" s="122"/>
    </row>
    <row r="8" spans="1:17" ht="24.4" customHeight="1" x14ac:dyDescent="0.25">
      <c r="A8" s="234"/>
      <c r="B8" s="91"/>
      <c r="C8" s="91"/>
      <c r="E8" s="91"/>
      <c r="O8" s="122"/>
    </row>
    <row r="9" spans="1:17" ht="24.4" customHeight="1" x14ac:dyDescent="0.25">
      <c r="A9" s="234"/>
      <c r="B9" s="91"/>
      <c r="C9" s="91"/>
      <c r="E9" s="91"/>
      <c r="H9" s="353">
        <v>1</v>
      </c>
      <c r="O9" s="122"/>
    </row>
    <row r="10" spans="1:17" ht="24.4" customHeight="1" thickBot="1" x14ac:dyDescent="0.3">
      <c r="A10" s="234"/>
      <c r="B10" s="91"/>
      <c r="C10" s="91"/>
      <c r="E10" s="91"/>
      <c r="I10" s="291" t="s">
        <v>54</v>
      </c>
      <c r="J10" s="291"/>
      <c r="O10" s="122"/>
    </row>
    <row r="11" spans="1:17" ht="24.4" customHeight="1" x14ac:dyDescent="0.25">
      <c r="A11" s="145" t="s">
        <v>18</v>
      </c>
      <c r="B11" s="173" t="s">
        <v>73</v>
      </c>
      <c r="C11" s="173" t="s">
        <v>194</v>
      </c>
      <c r="D11" s="173" t="s">
        <v>141</v>
      </c>
      <c r="E11" s="173" t="s">
        <v>86</v>
      </c>
      <c r="F11" s="146" t="s">
        <v>19</v>
      </c>
      <c r="G11" s="151" t="s">
        <v>20</v>
      </c>
      <c r="I11" s="165" t="s">
        <v>125</v>
      </c>
      <c r="J11" s="166" t="s">
        <v>124</v>
      </c>
      <c r="K11" s="167" t="s">
        <v>126</v>
      </c>
      <c r="O11" s="122"/>
    </row>
    <row r="12" spans="1:17" ht="24.4" customHeight="1" thickBot="1" x14ac:dyDescent="0.3">
      <c r="A12" s="344">
        <f>1-K5</f>
        <v>0.95</v>
      </c>
      <c r="B12" s="149">
        <f ca="1">M5/N5*A5^0.5</f>
        <v>-2.4724901510762538</v>
      </c>
      <c r="C12" s="331" t="str">
        <f ca="1">IF(E12&lt;=K5,"ano","ne")</f>
        <v>ano</v>
      </c>
      <c r="D12" s="149">
        <f ca="1">IF(H9=1,K12,IF(H9=2,J12,-J12))</f>
        <v>2.3060041352041671</v>
      </c>
      <c r="E12" s="149">
        <f ca="1">IF(H9=1,IF(B12&lt;0,2*MIN(1-TDIST(-B12,I12,1),TDIST(-B12,I12,1)),2*MIN(1-TDIST(B12,I12,1),TDIST(B12,I12,1))),IF(H9=2,IF(B12&lt;0,1-TDIST(-B12,I12,1),TDIST(B12,I12,1)),IF(B12&lt;0,TDIST(-B12,I12,1),1-TDIST(B12,I12,1))))</f>
        <v>3.8560457593367452E-2</v>
      </c>
      <c r="F12" s="149" t="str">
        <f ca="1">IF(C12="ano","zamítá se","nezamítá se")</f>
        <v>zamítá se</v>
      </c>
      <c r="G12" s="332" t="str">
        <f ca="1">IF(C12="ano","se přijme","x")</f>
        <v>se přijme</v>
      </c>
      <c r="I12" s="200">
        <f ca="1">A5-1</f>
        <v>8</v>
      </c>
      <c r="J12" s="169">
        <f ca="1">TINV(2*K5,I12)</f>
        <v>1.8595480375308981</v>
      </c>
      <c r="K12" s="170">
        <f ca="1">TINV(K5,I12)</f>
        <v>2.3060041352041671</v>
      </c>
      <c r="O12" s="122"/>
    </row>
    <row r="13" spans="1:17" ht="24.4" customHeight="1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</row>
    <row r="14" spans="1:17" ht="24.4" customHeight="1" x14ac:dyDescent="0.25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</row>
    <row r="15" spans="1:17" ht="24.4" customHeight="1" thickBot="1" x14ac:dyDescent="0.3">
      <c r="A15" s="347"/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</row>
    <row r="16" spans="1:17" ht="24.4" customHeight="1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</row>
    <row r="17" spans="1:15" ht="24.4" customHeight="1" x14ac:dyDescent="0.25">
      <c r="A17" s="304" t="s">
        <v>183</v>
      </c>
    </row>
    <row r="18" spans="1:15" ht="24.4" customHeight="1" x14ac:dyDescent="0.25">
      <c r="A18" s="309" t="s">
        <v>188</v>
      </c>
    </row>
    <row r="19" spans="1:15" ht="24.4" customHeight="1" thickBot="1" x14ac:dyDescent="0.3">
      <c r="A19" s="306"/>
      <c r="B19" s="123" t="s">
        <v>93</v>
      </c>
      <c r="D19" s="90"/>
      <c r="E19" s="90"/>
      <c r="F19" s="306"/>
      <c r="G19" s="83"/>
      <c r="H19" s="90"/>
      <c r="I19" s="90"/>
      <c r="J19" s="176" t="s">
        <v>185</v>
      </c>
      <c r="K19" s="176"/>
    </row>
    <row r="20" spans="1:15" ht="24.4" customHeight="1" x14ac:dyDescent="0.25">
      <c r="A20" s="204" t="s">
        <v>0</v>
      </c>
      <c r="B20" s="310"/>
      <c r="C20" s="203" t="s">
        <v>96</v>
      </c>
      <c r="D20" s="90"/>
      <c r="E20" s="201" t="s">
        <v>123</v>
      </c>
      <c r="F20" s="90"/>
      <c r="H20" s="122"/>
      <c r="I20" s="90"/>
      <c r="J20" s="143" t="s">
        <v>186</v>
      </c>
      <c r="K20" s="326">
        <v>0.53800000000000003</v>
      </c>
    </row>
    <row r="21" spans="1:15" ht="24.4" customHeight="1" thickBot="1" x14ac:dyDescent="0.3">
      <c r="A21" s="313">
        <v>10</v>
      </c>
      <c r="B21" s="311">
        <v>0.83</v>
      </c>
      <c r="C21" s="312">
        <v>0.73348500000000005</v>
      </c>
      <c r="D21" s="87"/>
      <c r="E21" s="202">
        <v>0.05</v>
      </c>
      <c r="F21" s="307"/>
      <c r="G21" s="308"/>
      <c r="H21" s="308"/>
      <c r="I21" s="308"/>
      <c r="J21" s="325" t="s">
        <v>187</v>
      </c>
      <c r="K21" s="327">
        <f>SQRT(K20)</f>
        <v>0.73348483283568999</v>
      </c>
    </row>
    <row r="22" spans="1:15" ht="24.4" customHeight="1" x14ac:dyDescent="0.25">
      <c r="A22" s="199"/>
      <c r="B22" s="90"/>
      <c r="C22" s="90"/>
      <c r="D22" s="90"/>
      <c r="E22" s="90"/>
      <c r="F22" s="90"/>
      <c r="G22" s="90"/>
      <c r="H22" s="90"/>
      <c r="I22" s="90"/>
      <c r="M22" s="96"/>
      <c r="N22" s="97"/>
      <c r="O22" s="97"/>
    </row>
    <row r="23" spans="1:15" ht="24.4" customHeight="1" x14ac:dyDescent="0.25">
      <c r="A23" s="192" t="s">
        <v>55</v>
      </c>
      <c r="O23" s="122"/>
    </row>
    <row r="24" spans="1:15" ht="24.4" customHeight="1" x14ac:dyDescent="0.25">
      <c r="A24" s="234"/>
      <c r="B24" s="91"/>
      <c r="C24" s="91"/>
      <c r="E24" s="91"/>
      <c r="O24" s="122"/>
    </row>
    <row r="25" spans="1:15" ht="24.4" customHeight="1" x14ac:dyDescent="0.25">
      <c r="A25" s="234"/>
      <c r="B25" s="91"/>
      <c r="C25" s="91"/>
      <c r="E25" s="91"/>
      <c r="H25" s="353">
        <v>1</v>
      </c>
      <c r="O25" s="122"/>
    </row>
    <row r="26" spans="1:15" ht="24.4" customHeight="1" thickBot="1" x14ac:dyDescent="0.3">
      <c r="A26" s="234"/>
      <c r="B26" s="91"/>
      <c r="C26" s="91"/>
      <c r="E26" s="91"/>
      <c r="I26" s="291" t="s">
        <v>54</v>
      </c>
      <c r="J26" s="291"/>
      <c r="O26" s="122"/>
    </row>
    <row r="27" spans="1:15" ht="24.4" customHeight="1" x14ac:dyDescent="0.25">
      <c r="A27" s="145" t="s">
        <v>18</v>
      </c>
      <c r="B27" s="173" t="s">
        <v>73</v>
      </c>
      <c r="C27" s="173" t="s">
        <v>194</v>
      </c>
      <c r="D27" s="173" t="s">
        <v>141</v>
      </c>
      <c r="E27" s="173" t="s">
        <v>86</v>
      </c>
      <c r="F27" s="146" t="s">
        <v>19</v>
      </c>
      <c r="G27" s="151" t="s">
        <v>20</v>
      </c>
      <c r="I27" s="165" t="s">
        <v>125</v>
      </c>
      <c r="J27" s="166" t="s">
        <v>124</v>
      </c>
      <c r="K27" s="167" t="s">
        <v>126</v>
      </c>
      <c r="O27" s="122"/>
    </row>
    <row r="28" spans="1:15" ht="24.4" customHeight="1" thickBot="1" x14ac:dyDescent="0.3">
      <c r="A28" s="344">
        <f>1-E21</f>
        <v>0.95</v>
      </c>
      <c r="B28" s="149">
        <f>B21/C21*A21^0.5</f>
        <v>3.5783832770128288</v>
      </c>
      <c r="C28" s="331" t="str">
        <f>IF(E28&lt;=K21,"ano","ne")</f>
        <v>ano</v>
      </c>
      <c r="D28" s="149">
        <f>IF(H25=1,K28,IF(H25=2,J28,-J28))</f>
        <v>2.2621571627982053</v>
      </c>
      <c r="E28" s="149">
        <f>IF(H25=1,IF(B28&lt;0,2*MIN(1-TDIST(-B28,I28,1),TDIST(-B28,I28,1)),2*MIN(1-TDIST(B28,I28,1),TDIST(B28,I28,1))),IF(H25=2,IF(B28&lt;0,1-TDIST(-B28,I28,1),TDIST(B28,I28,1)),IF(B28&lt;0,TDIST(-B28,I28,1),1-TDIST(B28,I28,1))))</f>
        <v>5.9457632940346228E-3</v>
      </c>
      <c r="F28" s="149" t="str">
        <f>IF(C28="ano","zamítá se","nezamítá se")</f>
        <v>zamítá se</v>
      </c>
      <c r="G28" s="332" t="str">
        <f>IF(C28="ano","se přijme","x")</f>
        <v>se přijme</v>
      </c>
      <c r="I28" s="200">
        <f>A21-1</f>
        <v>9</v>
      </c>
      <c r="J28" s="169">
        <f>TINV(2*E21,I28)</f>
        <v>1.8331129326562374</v>
      </c>
      <c r="K28" s="170">
        <f>TINV(E21,I28)</f>
        <v>2.2621571627982053</v>
      </c>
      <c r="O28" s="122"/>
    </row>
  </sheetData>
  <sheetProtection password="DBEF" sheet="1" objects="1" scenarios="1" formatCells="0"/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scale="73" orientation="portrait" horizontalDpi="180" verticalDpi="180" r:id="rId1"/>
  <headerFooter alignWithMargins="0">
    <oddHeader>&amp;C&amp;11Zpracování výběrového šetření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7430" r:id="rId4">
          <objectPr defaultSize="0" autoLine="0" r:id="rId5">
            <anchor moveWithCells="1">
              <from>
                <xdr:col>8</xdr:col>
                <xdr:colOff>203200</xdr:colOff>
                <xdr:row>3</xdr:row>
                <xdr:rowOff>57150</xdr:rowOff>
              </from>
              <to>
                <xdr:col>8</xdr:col>
                <xdr:colOff>552450</xdr:colOff>
                <xdr:row>3</xdr:row>
                <xdr:rowOff>279400</xdr:rowOff>
              </to>
            </anchor>
          </objectPr>
        </oleObject>
      </mc:Choice>
      <mc:Fallback>
        <oleObject progId="Equation.3" shapeId="17430" r:id="rId4"/>
      </mc:Fallback>
    </mc:AlternateContent>
    <mc:AlternateContent xmlns:mc="http://schemas.openxmlformats.org/markup-compatibility/2006">
      <mc:Choice Requires="x14">
        <oleObject progId="Equation.3" shapeId="17431" r:id="rId6">
          <objectPr defaultSize="0" autoLine="0" r:id="rId7">
            <anchor moveWithCells="1">
              <from>
                <xdr:col>6</xdr:col>
                <xdr:colOff>317500</xdr:colOff>
                <xdr:row>3</xdr:row>
                <xdr:rowOff>88900</xdr:rowOff>
              </from>
              <to>
                <xdr:col>6</xdr:col>
                <xdr:colOff>438150</xdr:colOff>
                <xdr:row>3</xdr:row>
                <xdr:rowOff>279400</xdr:rowOff>
              </to>
            </anchor>
          </objectPr>
        </oleObject>
      </mc:Choice>
      <mc:Fallback>
        <oleObject progId="Equation.3" shapeId="17431" r:id="rId6"/>
      </mc:Fallback>
    </mc:AlternateContent>
    <mc:AlternateContent xmlns:mc="http://schemas.openxmlformats.org/markup-compatibility/2006">
      <mc:Choice Requires="x14">
        <oleObject progId="Equation.3" shapeId="17599" r:id="rId8">
          <objectPr defaultSize="0" autoLine="0" r:id="rId9">
            <anchor moveWithCells="1">
              <from>
                <xdr:col>0</xdr:col>
                <xdr:colOff>584200</xdr:colOff>
                <xdr:row>24</xdr:row>
                <xdr:rowOff>107950</xdr:rowOff>
              </from>
              <to>
                <xdr:col>1</xdr:col>
                <xdr:colOff>304800</xdr:colOff>
                <xdr:row>25</xdr:row>
                <xdr:rowOff>19050</xdr:rowOff>
              </to>
            </anchor>
          </objectPr>
        </oleObject>
      </mc:Choice>
      <mc:Fallback>
        <oleObject progId="Equation.3" shapeId="17599" r:id="rId8"/>
      </mc:Fallback>
    </mc:AlternateContent>
    <mc:AlternateContent xmlns:mc="http://schemas.openxmlformats.org/markup-compatibility/2006">
      <mc:Choice Requires="x14">
        <oleObject progId="Equation.3" shapeId="17628" r:id="rId10">
          <objectPr defaultSize="0" autoLine="0" r:id="rId9">
            <anchor moveWithCells="1">
              <from>
                <xdr:col>0</xdr:col>
                <xdr:colOff>552450</xdr:colOff>
                <xdr:row>8</xdr:row>
                <xdr:rowOff>50800</xdr:rowOff>
              </from>
              <to>
                <xdr:col>1</xdr:col>
                <xdr:colOff>279400</xdr:colOff>
                <xdr:row>8</xdr:row>
                <xdr:rowOff>279400</xdr:rowOff>
              </to>
            </anchor>
          </objectPr>
        </oleObject>
      </mc:Choice>
      <mc:Fallback>
        <oleObject progId="Equation.3" shapeId="17628" r:id="rId10"/>
      </mc:Fallback>
    </mc:AlternateContent>
    <mc:AlternateContent xmlns:mc="http://schemas.openxmlformats.org/markup-compatibility/2006">
      <mc:Choice Requires="x14">
        <oleObject progId="Equation.3" shapeId="17672" r:id="rId11">
          <objectPr defaultSize="0" autoLine="0" autoPict="0" r:id="rId12">
            <anchor moveWithCells="1">
              <from>
                <xdr:col>3</xdr:col>
                <xdr:colOff>69850</xdr:colOff>
                <xdr:row>8</xdr:row>
                <xdr:rowOff>31750</xdr:rowOff>
              </from>
              <to>
                <xdr:col>3</xdr:col>
                <xdr:colOff>565150</xdr:colOff>
                <xdr:row>8</xdr:row>
                <xdr:rowOff>260350</xdr:rowOff>
              </to>
            </anchor>
          </objectPr>
        </oleObject>
      </mc:Choice>
      <mc:Fallback>
        <oleObject progId="Equation.3" shapeId="17672" r:id="rId11"/>
      </mc:Fallback>
    </mc:AlternateContent>
    <mc:AlternateContent xmlns:mc="http://schemas.openxmlformats.org/markup-compatibility/2006">
      <mc:Choice Requires="x14">
        <oleObject progId="Equation.3" shapeId="17673" r:id="rId13">
          <objectPr defaultSize="0" autoLine="0" r:id="rId14">
            <anchor moveWithCells="1">
              <from>
                <xdr:col>4</xdr:col>
                <xdr:colOff>393700</xdr:colOff>
                <xdr:row>8</xdr:row>
                <xdr:rowOff>50800</xdr:rowOff>
              </from>
              <to>
                <xdr:col>5</xdr:col>
                <xdr:colOff>114300</xdr:colOff>
                <xdr:row>8</xdr:row>
                <xdr:rowOff>260350</xdr:rowOff>
              </to>
            </anchor>
          </objectPr>
        </oleObject>
      </mc:Choice>
      <mc:Fallback>
        <oleObject progId="Equation.3" shapeId="17673" r:id="rId13"/>
      </mc:Fallback>
    </mc:AlternateContent>
    <mc:AlternateContent xmlns:mc="http://schemas.openxmlformats.org/markup-compatibility/2006">
      <mc:Choice Requires="x14">
        <oleObject progId="Equation.3" shapeId="17674" r:id="rId15">
          <objectPr defaultSize="0" autoLine="0" r:id="rId16">
            <anchor moveWithCells="1">
              <from>
                <xdr:col>5</xdr:col>
                <xdr:colOff>723900</xdr:colOff>
                <xdr:row>8</xdr:row>
                <xdr:rowOff>50800</xdr:rowOff>
              </from>
              <to>
                <xdr:col>6</xdr:col>
                <xdr:colOff>450850</xdr:colOff>
                <xdr:row>8</xdr:row>
                <xdr:rowOff>266700</xdr:rowOff>
              </to>
            </anchor>
          </objectPr>
        </oleObject>
      </mc:Choice>
      <mc:Fallback>
        <oleObject progId="Equation.3" shapeId="17674" r:id="rId15"/>
      </mc:Fallback>
    </mc:AlternateContent>
    <mc:AlternateContent xmlns:mc="http://schemas.openxmlformats.org/markup-compatibility/2006">
      <mc:Choice Requires="x14">
        <oleObject progId="Equation.3" shapeId="17680" r:id="rId17">
          <objectPr defaultSize="0" autoLine="0" autoPict="0" r:id="rId12">
            <anchor moveWithCells="1">
              <from>
                <xdr:col>3</xdr:col>
                <xdr:colOff>69850</xdr:colOff>
                <xdr:row>24</xdr:row>
                <xdr:rowOff>31750</xdr:rowOff>
              </from>
              <to>
                <xdr:col>3</xdr:col>
                <xdr:colOff>565150</xdr:colOff>
                <xdr:row>24</xdr:row>
                <xdr:rowOff>260350</xdr:rowOff>
              </to>
            </anchor>
          </objectPr>
        </oleObject>
      </mc:Choice>
      <mc:Fallback>
        <oleObject progId="Equation.3" shapeId="17680" r:id="rId17"/>
      </mc:Fallback>
    </mc:AlternateContent>
    <mc:AlternateContent xmlns:mc="http://schemas.openxmlformats.org/markup-compatibility/2006">
      <mc:Choice Requires="x14">
        <oleObject progId="Equation.3" shapeId="17681" r:id="rId18">
          <objectPr defaultSize="0" autoLine="0" r:id="rId14">
            <anchor moveWithCells="1">
              <from>
                <xdr:col>4</xdr:col>
                <xdr:colOff>393700</xdr:colOff>
                <xdr:row>24</xdr:row>
                <xdr:rowOff>50800</xdr:rowOff>
              </from>
              <to>
                <xdr:col>5</xdr:col>
                <xdr:colOff>114300</xdr:colOff>
                <xdr:row>24</xdr:row>
                <xdr:rowOff>260350</xdr:rowOff>
              </to>
            </anchor>
          </objectPr>
        </oleObject>
      </mc:Choice>
      <mc:Fallback>
        <oleObject progId="Equation.3" shapeId="17681" r:id="rId18"/>
      </mc:Fallback>
    </mc:AlternateContent>
    <mc:AlternateContent xmlns:mc="http://schemas.openxmlformats.org/markup-compatibility/2006">
      <mc:Choice Requires="x14">
        <oleObject progId="Equation.3" shapeId="17682" r:id="rId19">
          <objectPr defaultSize="0" autoLine="0" r:id="rId16">
            <anchor moveWithCells="1">
              <from>
                <xdr:col>5</xdr:col>
                <xdr:colOff>698500</xdr:colOff>
                <xdr:row>24</xdr:row>
                <xdr:rowOff>50800</xdr:rowOff>
              </from>
              <to>
                <xdr:col>6</xdr:col>
                <xdr:colOff>431800</xdr:colOff>
                <xdr:row>24</xdr:row>
                <xdr:rowOff>260350</xdr:rowOff>
              </to>
            </anchor>
          </objectPr>
        </oleObject>
      </mc:Choice>
      <mc:Fallback>
        <oleObject progId="Equation.3" shapeId="17682" r:id="rId19"/>
      </mc:Fallback>
    </mc:AlternateContent>
    <mc:AlternateContent xmlns:mc="http://schemas.openxmlformats.org/markup-compatibility/2006">
      <mc:Choice Requires="x14">
        <oleObject progId="Equation.3" shapeId="17440" r:id="rId20">
          <objectPr defaultSize="0" autoPict="0" r:id="rId21">
            <anchor moveWithCells="1" sizeWithCells="1">
              <from>
                <xdr:col>12</xdr:col>
                <xdr:colOff>323850</xdr:colOff>
                <xdr:row>3</xdr:row>
                <xdr:rowOff>57150</xdr:rowOff>
              </from>
              <to>
                <xdr:col>12</xdr:col>
                <xdr:colOff>450850</xdr:colOff>
                <xdr:row>3</xdr:row>
                <xdr:rowOff>247650</xdr:rowOff>
              </to>
            </anchor>
          </objectPr>
        </oleObject>
      </mc:Choice>
      <mc:Fallback>
        <oleObject progId="Equation.3" shapeId="17440" r:id="rId20"/>
      </mc:Fallback>
    </mc:AlternateContent>
    <mc:AlternateContent xmlns:mc="http://schemas.openxmlformats.org/markup-compatibility/2006">
      <mc:Choice Requires="x14">
        <oleObject progId="Equation.3" shapeId="17523" r:id="rId22">
          <objectPr defaultSize="0" autoPict="0" r:id="rId21">
            <anchor moveWithCells="1" sizeWithCells="1">
              <from>
                <xdr:col>1</xdr:col>
                <xdr:colOff>323850</xdr:colOff>
                <xdr:row>19</xdr:row>
                <xdr:rowOff>57150</xdr:rowOff>
              </from>
              <to>
                <xdr:col>1</xdr:col>
                <xdr:colOff>450850</xdr:colOff>
                <xdr:row>19</xdr:row>
                <xdr:rowOff>247650</xdr:rowOff>
              </to>
            </anchor>
          </objectPr>
        </oleObject>
      </mc:Choice>
      <mc:Fallback>
        <oleObject progId="Equation.3" shapeId="17523" r:id="rId22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26" r:id="rId23" name="Drop Down 18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7" r:id="rId24" name="Drop Down 19">
              <controlPr defaultSize="0" autoLine="0" autoPict="0">
                <anchor moveWithCells="1">
                  <from>
                    <xdr:col>6</xdr:col>
                    <xdr:colOff>12700</xdr:colOff>
                    <xdr:row>0</xdr:row>
                    <xdr:rowOff>304800</xdr:rowOff>
                  </from>
                  <to>
                    <xdr:col>8</xdr:col>
                    <xdr:colOff>171450</xdr:colOff>
                    <xdr:row>1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9" r:id="rId25" name="Group Box 171">
              <controlPr defaultSize="0" autoFill="0" autoPict="0">
                <anchor moveWithCells="1">
                  <from>
                    <xdr:col>0</xdr:col>
                    <xdr:colOff>133350</xdr:colOff>
                    <xdr:row>7</xdr:row>
                    <xdr:rowOff>165100</xdr:rowOff>
                  </from>
                  <to>
                    <xdr:col>1</xdr:col>
                    <xdr:colOff>685800</xdr:colOff>
                    <xdr:row>9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1" r:id="rId26" name="Option Button 173">
              <controlPr defaultSize="0" autoFill="0" autoLine="0" autoPict="0">
                <anchor moveWithCells="1">
                  <from>
                    <xdr:col>2</xdr:col>
                    <xdr:colOff>495300</xdr:colOff>
                    <xdr:row>8</xdr:row>
                    <xdr:rowOff>31750</xdr:rowOff>
                  </from>
                  <to>
                    <xdr:col>3</xdr:col>
                    <xdr:colOff>95250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2" r:id="rId27" name="Option Button 174">
              <controlPr defaultSize="0" autoFill="0" autoLine="0" autoPict="0">
                <anchor moveWithCells="1">
                  <from>
                    <xdr:col>4</xdr:col>
                    <xdr:colOff>95250</xdr:colOff>
                    <xdr:row>8</xdr:row>
                    <xdr:rowOff>19050</xdr:rowOff>
                  </from>
                  <to>
                    <xdr:col>4</xdr:col>
                    <xdr:colOff>400050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3" r:id="rId28" name="Option Button 175">
              <controlPr defaultSize="0" autoFill="0" autoLine="0" autoPict="0">
                <anchor moveWithCells="1">
                  <from>
                    <xdr:col>5</xdr:col>
                    <xdr:colOff>431800</xdr:colOff>
                    <xdr:row>8</xdr:row>
                    <xdr:rowOff>31750</xdr:rowOff>
                  </from>
                  <to>
                    <xdr:col>6</xdr:col>
                    <xdr:colOff>12700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4" r:id="rId29" name="Group Box 186">
              <controlPr defaultSize="0" autoFill="0" autoPict="0">
                <anchor moveWithCells="1">
                  <from>
                    <xdr:col>0</xdr:col>
                    <xdr:colOff>133350</xdr:colOff>
                    <xdr:row>23</xdr:row>
                    <xdr:rowOff>165100</xdr:rowOff>
                  </from>
                  <to>
                    <xdr:col>1</xdr:col>
                    <xdr:colOff>685800</xdr:colOff>
                    <xdr:row>25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6" r:id="rId30" name="Option Button 188">
              <controlPr defaultSize="0" autoFill="0" autoLine="0" autoPict="0">
                <anchor moveWithCells="1">
                  <from>
                    <xdr:col>2</xdr:col>
                    <xdr:colOff>514350</xdr:colOff>
                    <xdr:row>24</xdr:row>
                    <xdr:rowOff>31750</xdr:rowOff>
                  </from>
                  <to>
                    <xdr:col>3</xdr:col>
                    <xdr:colOff>95250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7" r:id="rId31" name="Option Button 189">
              <controlPr defaultSize="0" autoFill="0" autoLine="0" autoPict="0">
                <anchor moveWithCells="1">
                  <from>
                    <xdr:col>4</xdr:col>
                    <xdr:colOff>95250</xdr:colOff>
                    <xdr:row>24</xdr:row>
                    <xdr:rowOff>19050</xdr:rowOff>
                  </from>
                  <to>
                    <xdr:col>4</xdr:col>
                    <xdr:colOff>400050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98" r:id="rId32" name="Option Button 190">
              <controlPr defaultSize="0" autoFill="0" autoLine="0" autoPict="0">
                <anchor moveWithCells="1">
                  <from>
                    <xdr:col>5</xdr:col>
                    <xdr:colOff>412750</xdr:colOff>
                    <xdr:row>24</xdr:row>
                    <xdr:rowOff>19050</xdr:rowOff>
                  </from>
                  <to>
                    <xdr:col>5</xdr:col>
                    <xdr:colOff>717550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671" r:id="rId33" name="Group Box 263">
              <controlPr defaultSize="0" autoFill="0" autoPict="0">
                <anchor moveWithCells="1">
                  <from>
                    <xdr:col>2</xdr:col>
                    <xdr:colOff>317500</xdr:colOff>
                    <xdr:row>7</xdr:row>
                    <xdr:rowOff>152400</xdr:rowOff>
                  </from>
                  <to>
                    <xdr:col>6</xdr:col>
                    <xdr:colOff>723900</xdr:colOff>
                    <xdr:row>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679" r:id="rId34" name="Group Box 271">
              <controlPr defaultSize="0" autoFill="0" autoPict="0">
                <anchor moveWithCells="1">
                  <from>
                    <xdr:col>2</xdr:col>
                    <xdr:colOff>317500</xdr:colOff>
                    <xdr:row>23</xdr:row>
                    <xdr:rowOff>146050</xdr:rowOff>
                  </from>
                  <to>
                    <xdr:col>6</xdr:col>
                    <xdr:colOff>723900</xdr:colOff>
                    <xdr:row>25</xdr:row>
                    <xdr:rowOff>107950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pageSetUpPr fitToPage="1"/>
  </sheetPr>
  <dimension ref="A1:N38"/>
  <sheetViews>
    <sheetView showGridLines="0" workbookViewId="0">
      <pane ySplit="1" topLeftCell="A2" activePane="bottomLeft" state="frozen"/>
      <selection activeCell="L15" sqref="L15"/>
      <selection pane="bottomLeft" activeCell="G1" sqref="G1"/>
    </sheetView>
  </sheetViews>
  <sheetFormatPr defaultColWidth="10.7265625" defaultRowHeight="24.4" customHeight="1" x14ac:dyDescent="0.25"/>
  <cols>
    <col min="1" max="16384" width="10.7265625" style="79"/>
  </cols>
  <sheetData>
    <row r="1" spans="1:13" ht="24.4" customHeight="1" x14ac:dyDescent="0.25">
      <c r="A1" s="290" t="s">
        <v>214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8"/>
    </row>
    <row r="2" spans="1:13" ht="24.4" customHeight="1" x14ac:dyDescent="0.25">
      <c r="A2" s="304" t="s">
        <v>215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1:13" ht="24.4" customHeight="1" thickBot="1" x14ac:dyDescent="0.3">
      <c r="A3" s="184" t="s">
        <v>202</v>
      </c>
      <c r="I3" s="184"/>
      <c r="J3" s="184"/>
    </row>
    <row r="4" spans="1:13" ht="24.4" customHeight="1" x14ac:dyDescent="0.25">
      <c r="A4" s="143" t="s">
        <v>0</v>
      </c>
      <c r="B4" s="144" t="s">
        <v>67</v>
      </c>
      <c r="C4" s="106" t="s">
        <v>69</v>
      </c>
      <c r="D4" s="224" t="s">
        <v>217</v>
      </c>
      <c r="F4" s="180" t="s">
        <v>123</v>
      </c>
      <c r="I4" s="81"/>
      <c r="J4" s="341"/>
    </row>
    <row r="5" spans="1:13" ht="24.4" customHeight="1" thickBot="1" x14ac:dyDescent="0.3">
      <c r="A5" s="303">
        <v>250</v>
      </c>
      <c r="B5" s="342">
        <v>20</v>
      </c>
      <c r="C5" s="208">
        <f>B5/A5</f>
        <v>0.08</v>
      </c>
      <c r="D5" s="170">
        <f>A5*C5*(1-C5)</f>
        <v>18.400000000000002</v>
      </c>
      <c r="F5" s="181">
        <v>0.05</v>
      </c>
      <c r="I5" s="81"/>
      <c r="J5" s="157"/>
    </row>
    <row r="6" spans="1:13" ht="24.4" customHeight="1" x14ac:dyDescent="0.25">
      <c r="A6" s="319" t="str">
        <f>IF(A5&lt;30,"Není splněný doporučený rozsah výběru!","")</f>
        <v/>
      </c>
      <c r="B6" s="87"/>
      <c r="C6" s="87"/>
      <c r="D6" s="87"/>
      <c r="E6" s="319" t="str">
        <f>IF(D5&lt;9,"Není splněná podmínka pro rozsah výběru!","")</f>
        <v/>
      </c>
      <c r="G6" s="88"/>
      <c r="H6" s="83"/>
      <c r="I6" s="81"/>
      <c r="J6" s="88"/>
    </row>
    <row r="7" spans="1:13" ht="24.4" customHeight="1" thickBot="1" x14ac:dyDescent="0.3">
      <c r="A7" s="233" t="s">
        <v>199</v>
      </c>
      <c r="B7" s="284"/>
      <c r="C7" s="284"/>
      <c r="D7" s="233" t="s">
        <v>171</v>
      </c>
      <c r="E7" s="284"/>
      <c r="F7" s="84"/>
    </row>
    <row r="8" spans="1:13" ht="24.4" customHeight="1" x14ac:dyDescent="0.25">
      <c r="A8" s="145"/>
      <c r="B8" s="147" t="s">
        <v>204</v>
      </c>
      <c r="C8" s="122"/>
      <c r="D8" s="593" t="s">
        <v>105</v>
      </c>
      <c r="E8" s="590"/>
      <c r="F8" s="154" t="s">
        <v>13</v>
      </c>
      <c r="G8" s="155" t="s">
        <v>14</v>
      </c>
    </row>
    <row r="9" spans="1:13" ht="24.4" customHeight="1" thickBot="1" x14ac:dyDescent="0.3">
      <c r="A9" s="148">
        <f>C5</f>
        <v>0.08</v>
      </c>
      <c r="B9" s="150">
        <f>SQRT(C5*(1-C5)/A5)</f>
        <v>1.7158088471621775E-2</v>
      </c>
      <c r="C9" s="308"/>
      <c r="D9" s="591">
        <v>0.03</v>
      </c>
      <c r="E9" s="592"/>
      <c r="F9" s="156">
        <f>1-F5</f>
        <v>0.95</v>
      </c>
      <c r="G9" s="153">
        <f>INT(L21^2*C5*(1-C5)/D9^2)+1</f>
        <v>315</v>
      </c>
    </row>
    <row r="10" spans="1:13" ht="24.4" customHeight="1" x14ac:dyDescent="0.25">
      <c r="A10" s="85"/>
      <c r="B10" s="86"/>
      <c r="C10" s="86"/>
      <c r="D10" s="86"/>
      <c r="E10" s="86"/>
      <c r="F10" s="86"/>
      <c r="G10" s="86"/>
      <c r="H10" s="90"/>
      <c r="I10" s="88"/>
      <c r="J10" s="88"/>
    </row>
    <row r="11" spans="1:13" ht="24.4" customHeight="1" thickBot="1" x14ac:dyDescent="0.3">
      <c r="A11" s="234" t="s">
        <v>206</v>
      </c>
      <c r="B11" s="84"/>
      <c r="C11" s="84"/>
      <c r="D11" s="84"/>
      <c r="E11" s="84"/>
      <c r="H11" s="90"/>
      <c r="I11" s="88"/>
      <c r="J11" s="88"/>
    </row>
    <row r="12" spans="1:13" ht="24.4" customHeight="1" x14ac:dyDescent="0.25">
      <c r="A12" s="145" t="s">
        <v>13</v>
      </c>
      <c r="B12" s="587" t="s">
        <v>15</v>
      </c>
      <c r="C12" s="588"/>
      <c r="D12" s="159" t="s">
        <v>128</v>
      </c>
      <c r="E12" s="146" t="s">
        <v>16</v>
      </c>
      <c r="F12" s="146" t="s">
        <v>17</v>
      </c>
      <c r="G12" s="160" t="s">
        <v>128</v>
      </c>
      <c r="J12" s="88"/>
    </row>
    <row r="13" spans="1:13" ht="24.4" customHeight="1" thickBot="1" x14ac:dyDescent="0.3">
      <c r="A13" s="161">
        <f>1-F5</f>
        <v>0.95</v>
      </c>
      <c r="B13" s="149">
        <f>C5-L21*B9</f>
        <v>4.6370764552069427E-2</v>
      </c>
      <c r="C13" s="149">
        <f>C5+L21*B9</f>
        <v>0.11362923544793058</v>
      </c>
      <c r="D13" s="317">
        <f>L21*B9</f>
        <v>3.3629235447930575E-2</v>
      </c>
      <c r="E13" s="149">
        <f>C5-K21*B9</f>
        <v>5.1777455945898693E-2</v>
      </c>
      <c r="F13" s="163">
        <f>C5+K21*B9</f>
        <v>0.10822254405410131</v>
      </c>
      <c r="G13" s="316">
        <f>K21*B9</f>
        <v>2.8222544054101305E-2</v>
      </c>
      <c r="J13" s="88"/>
    </row>
    <row r="14" spans="1:13" ht="24.4" customHeight="1" x14ac:dyDescent="0.25">
      <c r="A14" s="85"/>
      <c r="B14" s="86"/>
      <c r="C14" s="86"/>
      <c r="D14" s="86"/>
      <c r="E14" s="86"/>
      <c r="F14" s="86"/>
      <c r="G14" s="86"/>
      <c r="J14" s="88"/>
    </row>
    <row r="15" spans="1:13" ht="24.4" customHeight="1" x14ac:dyDescent="0.25">
      <c r="A15" s="235" t="s">
        <v>205</v>
      </c>
      <c r="B15" s="90"/>
      <c r="C15" s="90"/>
      <c r="D15" s="96"/>
      <c r="E15" s="90"/>
      <c r="F15" s="96"/>
      <c r="G15" s="96"/>
      <c r="H15" s="96"/>
      <c r="I15" s="81"/>
      <c r="J15" s="81"/>
    </row>
    <row r="16" spans="1:13" ht="24.4" customHeight="1" x14ac:dyDescent="0.25">
      <c r="A16" s="234"/>
      <c r="B16" s="91"/>
      <c r="C16" s="91"/>
      <c r="D16" s="84"/>
      <c r="E16" s="91"/>
      <c r="F16" s="84"/>
      <c r="G16" s="84"/>
      <c r="H16" s="84"/>
      <c r="J16" s="81"/>
    </row>
    <row r="17" spans="1:14" ht="24.4" customHeight="1" x14ac:dyDescent="0.25">
      <c r="A17" s="234"/>
      <c r="B17" s="91"/>
      <c r="C17" s="91"/>
      <c r="D17" s="84"/>
      <c r="E17" s="91"/>
      <c r="F17" s="84"/>
      <c r="G17" s="84"/>
      <c r="H17" s="353">
        <v>1</v>
      </c>
      <c r="J17" s="81"/>
    </row>
    <row r="18" spans="1:14" ht="24.4" customHeight="1" thickBot="1" x14ac:dyDescent="0.3">
      <c r="A18" s="234"/>
      <c r="B18" s="91"/>
      <c r="C18" s="91"/>
      <c r="D18" s="84"/>
      <c r="E18" s="91"/>
      <c r="F18" s="84"/>
      <c r="G18" s="84"/>
      <c r="H18" s="84"/>
      <c r="I18" s="84"/>
      <c r="J18" s="81"/>
    </row>
    <row r="19" spans="1:14" ht="24.4" customHeight="1" thickBot="1" x14ac:dyDescent="0.3">
      <c r="A19" s="174" t="s">
        <v>200</v>
      </c>
      <c r="B19" s="337">
        <v>0.05</v>
      </c>
      <c r="C19" s="335"/>
      <c r="D19" s="336"/>
      <c r="H19" s="84"/>
      <c r="K19" s="184" t="s">
        <v>91</v>
      </c>
      <c r="L19" s="81"/>
    </row>
    <row r="20" spans="1:14" ht="24.4" customHeight="1" x14ac:dyDescent="0.25">
      <c r="A20" s="145" t="s">
        <v>18</v>
      </c>
      <c r="B20" s="173" t="s">
        <v>74</v>
      </c>
      <c r="C20" s="173" t="s">
        <v>196</v>
      </c>
      <c r="D20" s="173" t="s">
        <v>141</v>
      </c>
      <c r="E20" s="173" t="s">
        <v>86</v>
      </c>
      <c r="F20" s="146" t="s">
        <v>19</v>
      </c>
      <c r="G20" s="151" t="s">
        <v>20</v>
      </c>
      <c r="H20" s="84"/>
      <c r="I20" s="351"/>
      <c r="K20" s="171" t="s">
        <v>129</v>
      </c>
      <c r="L20" s="167" t="s">
        <v>130</v>
      </c>
    </row>
    <row r="21" spans="1:14" ht="24.4" customHeight="1" thickBot="1" x14ac:dyDescent="0.3">
      <c r="A21" s="344">
        <f>1-F5</f>
        <v>0.95</v>
      </c>
      <c r="B21" s="149">
        <f>(C5-B19)/SQRT(B19*(1-B19)/A5)</f>
        <v>2.176428750330035</v>
      </c>
      <c r="C21" s="331" t="str">
        <f>IF(E21&lt;=F5,"ano","ne")</f>
        <v>ano</v>
      </c>
      <c r="D21" s="149">
        <f>IF(H17=1,L21,IF(H17=2,K21,-K21))</f>
        <v>1.9599639845400536</v>
      </c>
      <c r="E21" s="149">
        <f>IF(H17=1,2*MIN(NORMSDIST(B21),1-NORMSDIST(B21)),IF(H17=2,1-NORMSDIST(B21),NORMSDIST(B21)))</f>
        <v>2.9523215949937898E-2</v>
      </c>
      <c r="F21" s="149" t="str">
        <f>IF(C21="ano","zamítá se","nezamítá se")</f>
        <v>zamítá se</v>
      </c>
      <c r="G21" s="332" t="str">
        <f>IF(C21="ano","se přijme","x")</f>
        <v>se přijme</v>
      </c>
      <c r="H21" s="90"/>
      <c r="I21" s="349">
        <f>A5*B19*(1-B19)</f>
        <v>11.875</v>
      </c>
      <c r="K21" s="172">
        <f>NORMSINV(1-F5)</f>
        <v>1.6448536269514715</v>
      </c>
      <c r="L21" s="170">
        <f>NORMSINV(1-F5/2)</f>
        <v>1.9599639845400536</v>
      </c>
    </row>
    <row r="22" spans="1:14" ht="24.4" customHeight="1" x14ac:dyDescent="0.25">
      <c r="A22" s="318" t="str">
        <f>IF(A5&lt;30,"Není splněný doporučený rozsah výběru!","")</f>
        <v/>
      </c>
      <c r="B22" s="80"/>
      <c r="C22" s="80"/>
      <c r="D22" s="80"/>
      <c r="E22" s="80"/>
      <c r="F22" s="80"/>
      <c r="G22" s="80"/>
      <c r="H22" s="80"/>
      <c r="I22" s="350" t="str">
        <f>IF(I21&lt;9,"Není splněná podmínka pro rozsah výběru!","")</f>
        <v/>
      </c>
      <c r="J22" s="80"/>
      <c r="K22" s="80"/>
      <c r="M22" s="80"/>
      <c r="N22" s="80"/>
    </row>
    <row r="23" spans="1:14" ht="24.4" customHeight="1" x14ac:dyDescent="0.25">
      <c r="A23" s="318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4" ht="24.4" customHeight="1" thickBot="1" x14ac:dyDescent="0.3">
      <c r="A24" s="348"/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</row>
    <row r="25" spans="1:14" ht="24.4" customHeight="1" x14ac:dyDescent="0.25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</row>
    <row r="26" spans="1:14" ht="24.4" customHeight="1" x14ac:dyDescent="0.25">
      <c r="A26" s="304" t="s">
        <v>216</v>
      </c>
      <c r="B26" s="84"/>
      <c r="C26" s="84"/>
      <c r="D26" s="84"/>
      <c r="E26" s="84"/>
      <c r="F26" s="84"/>
      <c r="G26" s="84"/>
      <c r="H26" s="84"/>
      <c r="I26" s="84"/>
      <c r="J26" s="84"/>
    </row>
    <row r="27" spans="1:14" ht="24.4" customHeight="1" x14ac:dyDescent="0.25">
      <c r="A27" s="234" t="s">
        <v>203</v>
      </c>
      <c r="B27" s="84"/>
      <c r="C27" s="84"/>
      <c r="D27" s="84"/>
      <c r="E27" s="84"/>
      <c r="F27" s="84"/>
      <c r="G27" s="84"/>
      <c r="H27" s="84"/>
      <c r="I27" s="84"/>
      <c r="J27" s="84"/>
    </row>
    <row r="28" spans="1:14" ht="24.4" customHeight="1" thickBot="1" x14ac:dyDescent="0.3">
      <c r="A28" s="120" t="s">
        <v>52</v>
      </c>
      <c r="B28" s="121"/>
      <c r="C28" s="91"/>
      <c r="D28" s="91"/>
      <c r="F28" s="120" t="s">
        <v>53</v>
      </c>
      <c r="G28" s="121"/>
      <c r="H28" s="84"/>
      <c r="J28" s="84"/>
      <c r="K28" s="176"/>
      <c r="L28" s="176"/>
    </row>
    <row r="29" spans="1:14" ht="24.4" customHeight="1" x14ac:dyDescent="0.25">
      <c r="A29" s="145" t="s">
        <v>208</v>
      </c>
      <c r="B29" s="146" t="s">
        <v>210</v>
      </c>
      <c r="C29" s="173" t="s">
        <v>201</v>
      </c>
      <c r="D29" s="352" t="s">
        <v>212</v>
      </c>
      <c r="F29" s="145" t="s">
        <v>209</v>
      </c>
      <c r="G29" s="146" t="s">
        <v>211</v>
      </c>
      <c r="H29" s="173" t="s">
        <v>207</v>
      </c>
      <c r="I29" s="352" t="s">
        <v>213</v>
      </c>
      <c r="J29" s="84"/>
      <c r="K29" s="182" t="s">
        <v>123</v>
      </c>
      <c r="L29" s="81"/>
      <c r="M29" s="343"/>
    </row>
    <row r="30" spans="1:14" ht="24.4" customHeight="1" thickBot="1" x14ac:dyDescent="0.3">
      <c r="A30" s="313">
        <v>120</v>
      </c>
      <c r="B30" s="342">
        <v>51</v>
      </c>
      <c r="C30" s="208">
        <f>B30/A30</f>
        <v>0.42499999999999999</v>
      </c>
      <c r="D30" s="209">
        <f>A30*C30*(1-C30)</f>
        <v>29.324999999999999</v>
      </c>
      <c r="F30" s="303">
        <v>150</v>
      </c>
      <c r="G30" s="342">
        <v>84</v>
      </c>
      <c r="H30" s="208">
        <f>G30/F30</f>
        <v>0.56000000000000005</v>
      </c>
      <c r="I30" s="209">
        <f>F30*H30*(1-H30)</f>
        <v>36.96</v>
      </c>
      <c r="J30" s="84"/>
      <c r="K30" s="181">
        <v>0.05</v>
      </c>
      <c r="L30" s="81"/>
    </row>
    <row r="31" spans="1:14" ht="24.4" customHeight="1" x14ac:dyDescent="0.25">
      <c r="A31" s="319" t="str">
        <f>IF(OR(A30&lt;30,F30&lt;30),"Není splněný doporučený rozsah výběrů!","")</f>
        <v/>
      </c>
      <c r="B31" s="87"/>
      <c r="C31" s="193"/>
      <c r="D31" s="193"/>
      <c r="E31" s="194"/>
      <c r="F31" s="319" t="str">
        <f>IF(OR(D30&lt;9,I30&lt;9),"Není splněná podmínka pro rozsah výběrů!","")</f>
        <v/>
      </c>
      <c r="G31" s="196"/>
      <c r="H31" s="196"/>
      <c r="I31" s="196"/>
      <c r="J31" s="84"/>
      <c r="K31" s="599"/>
      <c r="L31" s="599"/>
    </row>
    <row r="32" spans="1:14" ht="24.4" customHeight="1" x14ac:dyDescent="0.25">
      <c r="A32" s="192" t="s">
        <v>228</v>
      </c>
      <c r="B32" s="90"/>
      <c r="C32" s="90"/>
      <c r="D32" s="90"/>
      <c r="E32" s="90"/>
      <c r="F32" s="81"/>
      <c r="G32" s="90"/>
      <c r="H32" s="96"/>
      <c r="I32" s="96"/>
      <c r="J32" s="96"/>
      <c r="K32" s="96"/>
    </row>
    <row r="33" spans="1:11" ht="24.4" customHeight="1" x14ac:dyDescent="0.25">
      <c r="A33" s="234"/>
      <c r="B33" s="91"/>
      <c r="C33" s="91"/>
      <c r="D33" s="84"/>
      <c r="E33" s="91"/>
      <c r="F33" s="84"/>
      <c r="G33" s="84"/>
      <c r="H33" s="84"/>
      <c r="I33" s="84"/>
      <c r="J33" s="84"/>
      <c r="K33" s="84"/>
    </row>
    <row r="34" spans="1:11" ht="24.4" customHeight="1" x14ac:dyDescent="0.25">
      <c r="A34" s="234"/>
      <c r="B34" s="91"/>
      <c r="C34" s="91"/>
      <c r="D34" s="84"/>
      <c r="E34" s="91"/>
      <c r="F34" s="84"/>
      <c r="G34" s="84"/>
      <c r="H34" s="355">
        <v>1</v>
      </c>
      <c r="I34" s="96"/>
      <c r="J34" s="84"/>
      <c r="K34" s="84"/>
    </row>
    <row r="35" spans="1:11" ht="24.4" customHeight="1" thickBot="1" x14ac:dyDescent="0.3">
      <c r="A35" s="234"/>
      <c r="B35" s="91"/>
      <c r="C35" s="91"/>
      <c r="D35" s="84"/>
      <c r="E35" s="91"/>
      <c r="F35" s="84"/>
      <c r="G35" s="84"/>
      <c r="H35" s="84"/>
      <c r="I35" s="197" t="s">
        <v>91</v>
      </c>
      <c r="J35" s="197"/>
      <c r="K35" s="84"/>
    </row>
    <row r="36" spans="1:11" ht="24.4" customHeight="1" x14ac:dyDescent="0.25">
      <c r="A36" s="145" t="s">
        <v>18</v>
      </c>
      <c r="B36" s="173" t="s">
        <v>74</v>
      </c>
      <c r="C36" s="173" t="s">
        <v>196</v>
      </c>
      <c r="D36" s="173" t="s">
        <v>141</v>
      </c>
      <c r="E36" s="173" t="s">
        <v>86</v>
      </c>
      <c r="F36" s="146" t="s">
        <v>19</v>
      </c>
      <c r="G36" s="151" t="s">
        <v>20</v>
      </c>
      <c r="H36" s="84"/>
      <c r="I36" s="171" t="s">
        <v>129</v>
      </c>
      <c r="J36" s="167" t="s">
        <v>130</v>
      </c>
      <c r="K36" s="96"/>
    </row>
    <row r="37" spans="1:11" ht="24.4" customHeight="1" thickBot="1" x14ac:dyDescent="0.3">
      <c r="A37" s="344">
        <f>1-K30</f>
        <v>0.95</v>
      </c>
      <c r="B37" s="149">
        <f>(C30-H30)/SQRT(C30*(1-C30)/A30+H30*(1-H30)/F30)</f>
        <v>-2.2256737145962497</v>
      </c>
      <c r="C37" s="331" t="str">
        <f>IF(E37&lt;=K30,"ano","ne")</f>
        <v>ano</v>
      </c>
      <c r="D37" s="149">
        <f>IF(H34=1,J37,IF(H34=2,I37,-I37))</f>
        <v>1.9599639845400536</v>
      </c>
      <c r="E37" s="149">
        <f>IF(H34=1,2*MIN(NORMSDIST(B37),1-NORMSDIST(B37)),IF(H34=2,1-NORMSDIST(B37),NORMSDIST(B37)))</f>
        <v>2.603604464887712E-2</v>
      </c>
      <c r="F37" s="149" t="str">
        <f>IF(C37="ano","zamítá se","nezamítá se")</f>
        <v>zamítá se</v>
      </c>
      <c r="G37" s="332" t="str">
        <f>IF(C37="ano","se přijme","x")</f>
        <v>se přijme</v>
      </c>
      <c r="H37" s="84"/>
      <c r="I37" s="172">
        <f>NORMSINV(1-K30)</f>
        <v>1.6448536269514715</v>
      </c>
      <c r="J37" s="170">
        <f>NORMSINV(1-K30/2)</f>
        <v>1.9599639845400536</v>
      </c>
      <c r="K37" s="96"/>
    </row>
    <row r="38" spans="1:11" ht="24.4" customHeight="1" x14ac:dyDescent="0.25">
      <c r="A38" s="84"/>
      <c r="B38" s="84"/>
      <c r="C38" s="84"/>
      <c r="D38" s="84"/>
      <c r="E38" s="84"/>
      <c r="F38" s="84"/>
      <c r="G38" s="84"/>
      <c r="H38" s="84"/>
      <c r="I38" s="84"/>
      <c r="J38" s="84" t="s">
        <v>198</v>
      </c>
      <c r="K38" s="84"/>
    </row>
  </sheetData>
  <sheetProtection password="DBEF" sheet="1" objects="1" scenarios="1" formatCells="0"/>
  <mergeCells count="4">
    <mergeCell ref="B12:C12"/>
    <mergeCell ref="K31:L31"/>
    <mergeCell ref="D8:E8"/>
    <mergeCell ref="D9:E9"/>
  </mergeCells>
  <phoneticPr fontId="51" type="noConversion"/>
  <printOptions horizontalCentered="1"/>
  <pageMargins left="0.78740157480314965" right="0.78740157480314965" top="0.98425196850393704" bottom="0.98425196850393704" header="0.59055118110236227" footer="0.59055118110236227"/>
  <pageSetup paperSize="9" fitToWidth="2" orientation="portrait" horizontalDpi="180" verticalDpi="180" r:id="rId1"/>
  <headerFooter alignWithMargins="0">
    <oddHeader xml:space="preserve">&amp;C&amp;11Zpracování výběrového šetření 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606216" r:id="rId4">
          <objectPr defaultSize="0" autoLine="0" r:id="rId5">
            <anchor moveWithCells="1">
              <from>
                <xdr:col>0</xdr:col>
                <xdr:colOff>304800</xdr:colOff>
                <xdr:row>7</xdr:row>
                <xdr:rowOff>69850</xdr:rowOff>
              </from>
              <to>
                <xdr:col>0</xdr:col>
                <xdr:colOff>438150</xdr:colOff>
                <xdr:row>7</xdr:row>
                <xdr:rowOff>247650</xdr:rowOff>
              </to>
            </anchor>
          </objectPr>
        </oleObject>
      </mc:Choice>
      <mc:Fallback>
        <oleObject progId="Equation.2" shapeId="606216" r:id="rId4"/>
      </mc:Fallback>
    </mc:AlternateContent>
    <mc:AlternateContent xmlns:mc="http://schemas.openxmlformats.org/markup-compatibility/2006">
      <mc:Choice Requires="x14">
        <oleObject progId="Equation.3" shapeId="606229" r:id="rId6">
          <objectPr defaultSize="0" autoLine="0" r:id="rId7">
            <anchor moveWithCells="1">
              <from>
                <xdr:col>0</xdr:col>
                <xdr:colOff>584200</xdr:colOff>
                <xdr:row>16</xdr:row>
                <xdr:rowOff>69850</xdr:rowOff>
              </from>
              <to>
                <xdr:col>1</xdr:col>
                <xdr:colOff>266700</xdr:colOff>
                <xdr:row>16</xdr:row>
                <xdr:rowOff>298450</xdr:rowOff>
              </to>
            </anchor>
          </objectPr>
        </oleObject>
      </mc:Choice>
      <mc:Fallback>
        <oleObject progId="Equation.3" shapeId="606229" r:id="rId6"/>
      </mc:Fallback>
    </mc:AlternateContent>
    <mc:AlternateContent xmlns:mc="http://schemas.openxmlformats.org/markup-compatibility/2006">
      <mc:Choice Requires="x14">
        <oleObject progId="Equation.3" shapeId="606235" r:id="rId8">
          <objectPr defaultSize="0" autoLine="0" r:id="rId9">
            <anchor moveWithCells="1">
              <from>
                <xdr:col>3</xdr:col>
                <xdr:colOff>76200</xdr:colOff>
                <xdr:row>16</xdr:row>
                <xdr:rowOff>88900</xdr:rowOff>
              </from>
              <to>
                <xdr:col>3</xdr:col>
                <xdr:colOff>495300</xdr:colOff>
                <xdr:row>17</xdr:row>
                <xdr:rowOff>0</xdr:rowOff>
              </to>
            </anchor>
          </objectPr>
        </oleObject>
      </mc:Choice>
      <mc:Fallback>
        <oleObject progId="Equation.3" shapeId="606235" r:id="rId8"/>
      </mc:Fallback>
    </mc:AlternateContent>
    <mc:AlternateContent xmlns:mc="http://schemas.openxmlformats.org/markup-compatibility/2006">
      <mc:Choice Requires="x14">
        <oleObject progId="Equation.3" shapeId="606236" r:id="rId10">
          <objectPr defaultSize="0" autoLine="0" r:id="rId11">
            <anchor moveWithCells="1">
              <from>
                <xdr:col>4</xdr:col>
                <xdr:colOff>438150</xdr:colOff>
                <xdr:row>16</xdr:row>
                <xdr:rowOff>95250</xdr:rowOff>
              </from>
              <to>
                <xdr:col>5</xdr:col>
                <xdr:colOff>133350</xdr:colOff>
                <xdr:row>17</xdr:row>
                <xdr:rowOff>12700</xdr:rowOff>
              </to>
            </anchor>
          </objectPr>
        </oleObject>
      </mc:Choice>
      <mc:Fallback>
        <oleObject progId="Equation.3" shapeId="606236" r:id="rId10"/>
      </mc:Fallback>
    </mc:AlternateContent>
    <mc:AlternateContent xmlns:mc="http://schemas.openxmlformats.org/markup-compatibility/2006">
      <mc:Choice Requires="x14">
        <oleObject progId="Equation.3" shapeId="606237" r:id="rId12">
          <objectPr defaultSize="0" autoLine="0" r:id="rId13">
            <anchor moveWithCells="1">
              <from>
                <xdr:col>6</xdr:col>
                <xdr:colOff>38100</xdr:colOff>
                <xdr:row>16</xdr:row>
                <xdr:rowOff>95250</xdr:rowOff>
              </from>
              <to>
                <xdr:col>6</xdr:col>
                <xdr:colOff>457200</xdr:colOff>
                <xdr:row>17</xdr:row>
                <xdr:rowOff>12700</xdr:rowOff>
              </to>
            </anchor>
          </objectPr>
        </oleObject>
      </mc:Choice>
      <mc:Fallback>
        <oleObject progId="Equation.3" shapeId="606237" r:id="rId12"/>
      </mc:Fallback>
    </mc:AlternateContent>
    <mc:AlternateContent xmlns:mc="http://schemas.openxmlformats.org/markup-compatibility/2006">
      <mc:Choice Requires="x14">
        <oleObject progId="Equation.3" shapeId="606255" r:id="rId14">
          <objectPr defaultSize="0" autoLine="0" r:id="rId15">
            <anchor moveWithCells="1">
              <from>
                <xdr:col>0</xdr:col>
                <xdr:colOff>552450</xdr:colOff>
                <xdr:row>33</xdr:row>
                <xdr:rowOff>31750</xdr:rowOff>
              </from>
              <to>
                <xdr:col>1</xdr:col>
                <xdr:colOff>279400</xdr:colOff>
                <xdr:row>33</xdr:row>
                <xdr:rowOff>247650</xdr:rowOff>
              </to>
            </anchor>
          </objectPr>
        </oleObject>
      </mc:Choice>
      <mc:Fallback>
        <oleObject progId="Equation.3" shapeId="606255" r:id="rId14"/>
      </mc:Fallback>
    </mc:AlternateContent>
    <mc:AlternateContent xmlns:mc="http://schemas.openxmlformats.org/markup-compatibility/2006">
      <mc:Choice Requires="x14">
        <oleObject progId="Equation.3" shapeId="606257" r:id="rId16">
          <objectPr defaultSize="0" autoLine="0" autoPict="0" r:id="rId17">
            <anchor moveWithCells="1">
              <from>
                <xdr:col>3</xdr:col>
                <xdr:colOff>107950</xdr:colOff>
                <xdr:row>33</xdr:row>
                <xdr:rowOff>31750</xdr:rowOff>
              </from>
              <to>
                <xdr:col>3</xdr:col>
                <xdr:colOff>603250</xdr:colOff>
                <xdr:row>33</xdr:row>
                <xdr:rowOff>260350</xdr:rowOff>
              </to>
            </anchor>
          </objectPr>
        </oleObject>
      </mc:Choice>
      <mc:Fallback>
        <oleObject progId="Equation.3" shapeId="606257" r:id="rId16"/>
      </mc:Fallback>
    </mc:AlternateContent>
    <mc:AlternateContent xmlns:mc="http://schemas.openxmlformats.org/markup-compatibility/2006">
      <mc:Choice Requires="x14">
        <oleObject progId="Equation.3" shapeId="606258" r:id="rId18">
          <objectPr defaultSize="0" autoLine="0" r:id="rId19">
            <anchor moveWithCells="1">
              <from>
                <xdr:col>4</xdr:col>
                <xdr:colOff>469900</xdr:colOff>
                <xdr:row>33</xdr:row>
                <xdr:rowOff>50800</xdr:rowOff>
              </from>
              <to>
                <xdr:col>5</xdr:col>
                <xdr:colOff>203200</xdr:colOff>
                <xdr:row>33</xdr:row>
                <xdr:rowOff>260350</xdr:rowOff>
              </to>
            </anchor>
          </objectPr>
        </oleObject>
      </mc:Choice>
      <mc:Fallback>
        <oleObject progId="Equation.3" shapeId="606258" r:id="rId18"/>
      </mc:Fallback>
    </mc:AlternateContent>
    <mc:AlternateContent xmlns:mc="http://schemas.openxmlformats.org/markup-compatibility/2006">
      <mc:Choice Requires="x14">
        <oleObject progId="Equation.3" shapeId="606259" r:id="rId20">
          <objectPr defaultSize="0" autoLine="0" r:id="rId21">
            <anchor moveWithCells="1">
              <from>
                <xdr:col>5</xdr:col>
                <xdr:colOff>723900</xdr:colOff>
                <xdr:row>33</xdr:row>
                <xdr:rowOff>50800</xdr:rowOff>
              </from>
              <to>
                <xdr:col>6</xdr:col>
                <xdr:colOff>450850</xdr:colOff>
                <xdr:row>33</xdr:row>
                <xdr:rowOff>266700</xdr:rowOff>
              </to>
            </anchor>
          </objectPr>
        </oleObject>
      </mc:Choice>
      <mc:Fallback>
        <oleObject progId="Equation.3" shapeId="606259" r:id="rId20"/>
      </mc:Fallback>
    </mc:AlternateContent>
    <mc:AlternateContent xmlns:mc="http://schemas.openxmlformats.org/markup-compatibility/2006">
      <mc:Choice Requires="x14">
        <oleObject progId="Equation.3" shapeId="606262" r:id="rId22">
          <objectPr defaultSize="0" autoLine="0" autoPict="0" r:id="rId23">
            <anchor moveWithCells="1">
              <from>
                <xdr:col>8</xdr:col>
                <xdr:colOff>57150</xdr:colOff>
                <xdr:row>19</xdr:row>
                <xdr:rowOff>57150</xdr:rowOff>
              </from>
              <to>
                <xdr:col>8</xdr:col>
                <xdr:colOff>679450</xdr:colOff>
                <xdr:row>19</xdr:row>
                <xdr:rowOff>279400</xdr:rowOff>
              </to>
            </anchor>
          </objectPr>
        </oleObject>
      </mc:Choice>
      <mc:Fallback>
        <oleObject progId="Equation.3" shapeId="606262" r:id="rId22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6224" r:id="rId24" name="Group Box 16">
              <controlPr defaultSize="0" autoFill="0" autoPict="0">
                <anchor moveWithCells="1">
                  <from>
                    <xdr:col>0</xdr:col>
                    <xdr:colOff>133350</xdr:colOff>
                    <xdr:row>15</xdr:row>
                    <xdr:rowOff>190500</xdr:rowOff>
                  </from>
                  <to>
                    <xdr:col>1</xdr:col>
                    <xdr:colOff>685800</xdr:colOff>
                    <xdr:row>17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25" r:id="rId25" name="Option Button 17">
              <controlPr defaultSize="0" autoFill="0" autoLine="0" autoPict="0">
                <anchor moveWithCells="1">
                  <from>
                    <xdr:col>2</xdr:col>
                    <xdr:colOff>514350</xdr:colOff>
                    <xdr:row>16</xdr:row>
                    <xdr:rowOff>69850</xdr:rowOff>
                  </from>
                  <to>
                    <xdr:col>3</xdr:col>
                    <xdr:colOff>95250</xdr:colOff>
                    <xdr:row>16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26" r:id="rId26" name="Option Button 18">
              <controlPr defaultSize="0" autoFill="0" autoLine="0" autoPict="0">
                <anchor moveWithCells="1">
                  <from>
                    <xdr:col>4</xdr:col>
                    <xdr:colOff>152400</xdr:colOff>
                    <xdr:row>16</xdr:row>
                    <xdr:rowOff>76200</xdr:rowOff>
                  </from>
                  <to>
                    <xdr:col>4</xdr:col>
                    <xdr:colOff>457200</xdr:colOff>
                    <xdr:row>16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27" r:id="rId27" name="Option Button 19">
              <controlPr defaultSize="0" autoFill="0" autoLine="0" autoPict="0">
                <anchor moveWithCells="1">
                  <from>
                    <xdr:col>5</xdr:col>
                    <xdr:colOff>488950</xdr:colOff>
                    <xdr:row>16</xdr:row>
                    <xdr:rowOff>76200</xdr:rowOff>
                  </from>
                  <to>
                    <xdr:col>6</xdr:col>
                    <xdr:colOff>57150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34" r:id="rId28" name="Group Box 26">
              <controlPr defaultSize="0" autoFill="0" autoPict="0">
                <anchor moveWithCells="1">
                  <from>
                    <xdr:col>2</xdr:col>
                    <xdr:colOff>323850</xdr:colOff>
                    <xdr:row>15</xdr:row>
                    <xdr:rowOff>190500</xdr:rowOff>
                  </from>
                  <to>
                    <xdr:col>7</xdr:col>
                    <xdr:colOff>0</xdr:colOff>
                    <xdr:row>17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1" r:id="rId29" name="Group Box 43">
              <controlPr defaultSize="0" autoFill="0" autoPict="0">
                <anchor moveWithCells="1">
                  <from>
                    <xdr:col>0</xdr:col>
                    <xdr:colOff>133350</xdr:colOff>
                    <xdr:row>32</xdr:row>
                    <xdr:rowOff>133350</xdr:rowOff>
                  </from>
                  <to>
                    <xdr:col>1</xdr:col>
                    <xdr:colOff>685800</xdr:colOff>
                    <xdr:row>34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2" r:id="rId30" name="Option Button 44">
              <controlPr defaultSize="0" autoFill="0" autoLine="0" autoPict="0">
                <anchor moveWithCells="1">
                  <from>
                    <xdr:col>2</xdr:col>
                    <xdr:colOff>552450</xdr:colOff>
                    <xdr:row>33</xdr:row>
                    <xdr:rowOff>31750</xdr:rowOff>
                  </from>
                  <to>
                    <xdr:col>3</xdr:col>
                    <xdr:colOff>133350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3" r:id="rId31" name="Option Button 45">
              <controlPr defaultSize="0" autoFill="0" autoLine="0" autoPict="0">
                <anchor moveWithCells="1">
                  <from>
                    <xdr:col>4</xdr:col>
                    <xdr:colOff>171450</xdr:colOff>
                    <xdr:row>33</xdr:row>
                    <xdr:rowOff>31750</xdr:rowOff>
                  </from>
                  <to>
                    <xdr:col>4</xdr:col>
                    <xdr:colOff>476250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4" r:id="rId32" name="Option Button 46">
              <controlPr defaultSize="0" autoFill="0" autoLine="0" autoPict="0">
                <anchor moveWithCells="1">
                  <from>
                    <xdr:col>5</xdr:col>
                    <xdr:colOff>431800</xdr:colOff>
                    <xdr:row>33</xdr:row>
                    <xdr:rowOff>50800</xdr:rowOff>
                  </from>
                  <to>
                    <xdr:col>6</xdr:col>
                    <xdr:colOff>12700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56" r:id="rId33" name="Group Box 48">
              <controlPr defaultSize="0" autoFill="0" autoPict="0">
                <anchor moveWithCells="1">
                  <from>
                    <xdr:col>2</xdr:col>
                    <xdr:colOff>317500</xdr:colOff>
                    <xdr:row>32</xdr:row>
                    <xdr:rowOff>146050</xdr:rowOff>
                  </from>
                  <to>
                    <xdr:col>6</xdr:col>
                    <xdr:colOff>723900</xdr:colOff>
                    <xdr:row>34</xdr:row>
                    <xdr:rowOff>107950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5"/>
  <sheetViews>
    <sheetView workbookViewId="0">
      <selection activeCell="S1" sqref="S1"/>
    </sheetView>
  </sheetViews>
  <sheetFormatPr defaultRowHeight="13" x14ac:dyDescent="0.3"/>
  <cols>
    <col min="1" max="1" width="5.7265625" style="494" customWidth="1"/>
    <col min="2" max="11" width="5.7265625" style="493" customWidth="1"/>
    <col min="12" max="12" width="8.81640625" style="493"/>
    <col min="13" max="13" width="5.1796875" style="493" customWidth="1"/>
    <col min="14" max="14" width="12" style="493" customWidth="1"/>
    <col min="15" max="21" width="14" style="493" customWidth="1"/>
    <col min="22" max="25" width="10.26953125" style="493" customWidth="1"/>
    <col min="26" max="26" width="12.7265625" style="493" hidden="1" customWidth="1"/>
    <col min="27" max="29" width="8.81640625" style="493" hidden="1" customWidth="1"/>
    <col min="30" max="30" width="11.453125" style="493" hidden="1" customWidth="1"/>
    <col min="31" max="31" width="10.7265625" style="493" hidden="1" customWidth="1"/>
    <col min="32" max="32" width="11.453125" style="493" hidden="1" customWidth="1"/>
    <col min="33" max="35" width="8.81640625" style="493" hidden="1" customWidth="1"/>
    <col min="36" max="36" width="10.7265625" style="493" hidden="1" customWidth="1"/>
    <col min="37" max="37" width="0" style="493" hidden="1" customWidth="1"/>
    <col min="38" max="256" width="8.81640625" style="493"/>
    <col min="257" max="267" width="5.7265625" style="493" customWidth="1"/>
    <col min="268" max="269" width="8.81640625" style="493"/>
    <col min="270" max="270" width="20" style="493" customWidth="1"/>
    <col min="271" max="271" width="10.26953125" style="493" bestFit="1" customWidth="1"/>
    <col min="272" max="272" width="10.26953125" style="493" customWidth="1"/>
    <col min="273" max="273" width="11.26953125" style="493" customWidth="1"/>
    <col min="274" max="274" width="12" style="493" customWidth="1"/>
    <col min="275" max="281" width="10.26953125" style="493" customWidth="1"/>
    <col min="282" max="293" width="0" style="493" hidden="1" customWidth="1"/>
    <col min="294" max="512" width="8.81640625" style="493"/>
    <col min="513" max="523" width="5.7265625" style="493" customWidth="1"/>
    <col min="524" max="525" width="8.81640625" style="493"/>
    <col min="526" max="526" width="20" style="493" customWidth="1"/>
    <col min="527" max="527" width="10.26953125" style="493" bestFit="1" customWidth="1"/>
    <col min="528" max="528" width="10.26953125" style="493" customWidth="1"/>
    <col min="529" max="529" width="11.26953125" style="493" customWidth="1"/>
    <col min="530" max="530" width="12" style="493" customWidth="1"/>
    <col min="531" max="537" width="10.26953125" style="493" customWidth="1"/>
    <col min="538" max="549" width="0" style="493" hidden="1" customWidth="1"/>
    <col min="550" max="768" width="8.81640625" style="493"/>
    <col min="769" max="779" width="5.7265625" style="493" customWidth="1"/>
    <col min="780" max="781" width="8.81640625" style="493"/>
    <col min="782" max="782" width="20" style="493" customWidth="1"/>
    <col min="783" max="783" width="10.26953125" style="493" bestFit="1" customWidth="1"/>
    <col min="784" max="784" width="10.26953125" style="493" customWidth="1"/>
    <col min="785" max="785" width="11.26953125" style="493" customWidth="1"/>
    <col min="786" max="786" width="12" style="493" customWidth="1"/>
    <col min="787" max="793" width="10.26953125" style="493" customWidth="1"/>
    <col min="794" max="805" width="0" style="493" hidden="1" customWidth="1"/>
    <col min="806" max="1024" width="8.81640625" style="493"/>
    <col min="1025" max="1035" width="5.7265625" style="493" customWidth="1"/>
    <col min="1036" max="1037" width="8.81640625" style="493"/>
    <col min="1038" max="1038" width="20" style="493" customWidth="1"/>
    <col min="1039" max="1039" width="10.26953125" style="493" bestFit="1" customWidth="1"/>
    <col min="1040" max="1040" width="10.26953125" style="493" customWidth="1"/>
    <col min="1041" max="1041" width="11.26953125" style="493" customWidth="1"/>
    <col min="1042" max="1042" width="12" style="493" customWidth="1"/>
    <col min="1043" max="1049" width="10.26953125" style="493" customWidth="1"/>
    <col min="1050" max="1061" width="0" style="493" hidden="1" customWidth="1"/>
    <col min="1062" max="1280" width="8.81640625" style="493"/>
    <col min="1281" max="1291" width="5.7265625" style="493" customWidth="1"/>
    <col min="1292" max="1293" width="8.81640625" style="493"/>
    <col min="1294" max="1294" width="20" style="493" customWidth="1"/>
    <col min="1295" max="1295" width="10.26953125" style="493" bestFit="1" customWidth="1"/>
    <col min="1296" max="1296" width="10.26953125" style="493" customWidth="1"/>
    <col min="1297" max="1297" width="11.26953125" style="493" customWidth="1"/>
    <col min="1298" max="1298" width="12" style="493" customWidth="1"/>
    <col min="1299" max="1305" width="10.26953125" style="493" customWidth="1"/>
    <col min="1306" max="1317" width="0" style="493" hidden="1" customWidth="1"/>
    <col min="1318" max="1536" width="8.81640625" style="493"/>
    <col min="1537" max="1547" width="5.7265625" style="493" customWidth="1"/>
    <col min="1548" max="1549" width="8.81640625" style="493"/>
    <col min="1550" max="1550" width="20" style="493" customWidth="1"/>
    <col min="1551" max="1551" width="10.26953125" style="493" bestFit="1" customWidth="1"/>
    <col min="1552" max="1552" width="10.26953125" style="493" customWidth="1"/>
    <col min="1553" max="1553" width="11.26953125" style="493" customWidth="1"/>
    <col min="1554" max="1554" width="12" style="493" customWidth="1"/>
    <col min="1555" max="1561" width="10.26953125" style="493" customWidth="1"/>
    <col min="1562" max="1573" width="0" style="493" hidden="1" customWidth="1"/>
    <col min="1574" max="1792" width="8.81640625" style="493"/>
    <col min="1793" max="1803" width="5.7265625" style="493" customWidth="1"/>
    <col min="1804" max="1805" width="8.81640625" style="493"/>
    <col min="1806" max="1806" width="20" style="493" customWidth="1"/>
    <col min="1807" max="1807" width="10.26953125" style="493" bestFit="1" customWidth="1"/>
    <col min="1808" max="1808" width="10.26953125" style="493" customWidth="1"/>
    <col min="1809" max="1809" width="11.26953125" style="493" customWidth="1"/>
    <col min="1810" max="1810" width="12" style="493" customWidth="1"/>
    <col min="1811" max="1817" width="10.26953125" style="493" customWidth="1"/>
    <col min="1818" max="1829" width="0" style="493" hidden="1" customWidth="1"/>
    <col min="1830" max="2048" width="8.81640625" style="493"/>
    <col min="2049" max="2059" width="5.7265625" style="493" customWidth="1"/>
    <col min="2060" max="2061" width="8.81640625" style="493"/>
    <col min="2062" max="2062" width="20" style="493" customWidth="1"/>
    <col min="2063" max="2063" width="10.26953125" style="493" bestFit="1" customWidth="1"/>
    <col min="2064" max="2064" width="10.26953125" style="493" customWidth="1"/>
    <col min="2065" max="2065" width="11.26953125" style="493" customWidth="1"/>
    <col min="2066" max="2066" width="12" style="493" customWidth="1"/>
    <col min="2067" max="2073" width="10.26953125" style="493" customWidth="1"/>
    <col min="2074" max="2085" width="0" style="493" hidden="1" customWidth="1"/>
    <col min="2086" max="2304" width="8.81640625" style="493"/>
    <col min="2305" max="2315" width="5.7265625" style="493" customWidth="1"/>
    <col min="2316" max="2317" width="8.81640625" style="493"/>
    <col min="2318" max="2318" width="20" style="493" customWidth="1"/>
    <col min="2319" max="2319" width="10.26953125" style="493" bestFit="1" customWidth="1"/>
    <col min="2320" max="2320" width="10.26953125" style="493" customWidth="1"/>
    <col min="2321" max="2321" width="11.26953125" style="493" customWidth="1"/>
    <col min="2322" max="2322" width="12" style="493" customWidth="1"/>
    <col min="2323" max="2329" width="10.26953125" style="493" customWidth="1"/>
    <col min="2330" max="2341" width="0" style="493" hidden="1" customWidth="1"/>
    <col min="2342" max="2560" width="8.81640625" style="493"/>
    <col min="2561" max="2571" width="5.7265625" style="493" customWidth="1"/>
    <col min="2572" max="2573" width="8.81640625" style="493"/>
    <col min="2574" max="2574" width="20" style="493" customWidth="1"/>
    <col min="2575" max="2575" width="10.26953125" style="493" bestFit="1" customWidth="1"/>
    <col min="2576" max="2576" width="10.26953125" style="493" customWidth="1"/>
    <col min="2577" max="2577" width="11.26953125" style="493" customWidth="1"/>
    <col min="2578" max="2578" width="12" style="493" customWidth="1"/>
    <col min="2579" max="2585" width="10.26953125" style="493" customWidth="1"/>
    <col min="2586" max="2597" width="0" style="493" hidden="1" customWidth="1"/>
    <col min="2598" max="2816" width="8.81640625" style="493"/>
    <col min="2817" max="2827" width="5.7265625" style="493" customWidth="1"/>
    <col min="2828" max="2829" width="8.81640625" style="493"/>
    <col min="2830" max="2830" width="20" style="493" customWidth="1"/>
    <col min="2831" max="2831" width="10.26953125" style="493" bestFit="1" customWidth="1"/>
    <col min="2832" max="2832" width="10.26953125" style="493" customWidth="1"/>
    <col min="2833" max="2833" width="11.26953125" style="493" customWidth="1"/>
    <col min="2834" max="2834" width="12" style="493" customWidth="1"/>
    <col min="2835" max="2841" width="10.26953125" style="493" customWidth="1"/>
    <col min="2842" max="2853" width="0" style="493" hidden="1" customWidth="1"/>
    <col min="2854" max="3072" width="8.81640625" style="493"/>
    <col min="3073" max="3083" width="5.7265625" style="493" customWidth="1"/>
    <col min="3084" max="3085" width="8.81640625" style="493"/>
    <col min="3086" max="3086" width="20" style="493" customWidth="1"/>
    <col min="3087" max="3087" width="10.26953125" style="493" bestFit="1" customWidth="1"/>
    <col min="3088" max="3088" width="10.26953125" style="493" customWidth="1"/>
    <col min="3089" max="3089" width="11.26953125" style="493" customWidth="1"/>
    <col min="3090" max="3090" width="12" style="493" customWidth="1"/>
    <col min="3091" max="3097" width="10.26953125" style="493" customWidth="1"/>
    <col min="3098" max="3109" width="0" style="493" hidden="1" customWidth="1"/>
    <col min="3110" max="3328" width="8.81640625" style="493"/>
    <col min="3329" max="3339" width="5.7265625" style="493" customWidth="1"/>
    <col min="3340" max="3341" width="8.81640625" style="493"/>
    <col min="3342" max="3342" width="20" style="493" customWidth="1"/>
    <col min="3343" max="3343" width="10.26953125" style="493" bestFit="1" customWidth="1"/>
    <col min="3344" max="3344" width="10.26953125" style="493" customWidth="1"/>
    <col min="3345" max="3345" width="11.26953125" style="493" customWidth="1"/>
    <col min="3346" max="3346" width="12" style="493" customWidth="1"/>
    <col min="3347" max="3353" width="10.26953125" style="493" customWidth="1"/>
    <col min="3354" max="3365" width="0" style="493" hidden="1" customWidth="1"/>
    <col min="3366" max="3584" width="8.81640625" style="493"/>
    <col min="3585" max="3595" width="5.7265625" style="493" customWidth="1"/>
    <col min="3596" max="3597" width="8.81640625" style="493"/>
    <col min="3598" max="3598" width="20" style="493" customWidth="1"/>
    <col min="3599" max="3599" width="10.26953125" style="493" bestFit="1" customWidth="1"/>
    <col min="3600" max="3600" width="10.26953125" style="493" customWidth="1"/>
    <col min="3601" max="3601" width="11.26953125" style="493" customWidth="1"/>
    <col min="3602" max="3602" width="12" style="493" customWidth="1"/>
    <col min="3603" max="3609" width="10.26953125" style="493" customWidth="1"/>
    <col min="3610" max="3621" width="0" style="493" hidden="1" customWidth="1"/>
    <col min="3622" max="3840" width="8.81640625" style="493"/>
    <col min="3841" max="3851" width="5.7265625" style="493" customWidth="1"/>
    <col min="3852" max="3853" width="8.81640625" style="493"/>
    <col min="3854" max="3854" width="20" style="493" customWidth="1"/>
    <col min="3855" max="3855" width="10.26953125" style="493" bestFit="1" customWidth="1"/>
    <col min="3856" max="3856" width="10.26953125" style="493" customWidth="1"/>
    <col min="3857" max="3857" width="11.26953125" style="493" customWidth="1"/>
    <col min="3858" max="3858" width="12" style="493" customWidth="1"/>
    <col min="3859" max="3865" width="10.26953125" style="493" customWidth="1"/>
    <col min="3866" max="3877" width="0" style="493" hidden="1" customWidth="1"/>
    <col min="3878" max="4096" width="8.81640625" style="493"/>
    <col min="4097" max="4107" width="5.7265625" style="493" customWidth="1"/>
    <col min="4108" max="4109" width="8.81640625" style="493"/>
    <col min="4110" max="4110" width="20" style="493" customWidth="1"/>
    <col min="4111" max="4111" width="10.26953125" style="493" bestFit="1" customWidth="1"/>
    <col min="4112" max="4112" width="10.26953125" style="493" customWidth="1"/>
    <col min="4113" max="4113" width="11.26953125" style="493" customWidth="1"/>
    <col min="4114" max="4114" width="12" style="493" customWidth="1"/>
    <col min="4115" max="4121" width="10.26953125" style="493" customWidth="1"/>
    <col min="4122" max="4133" width="0" style="493" hidden="1" customWidth="1"/>
    <col min="4134" max="4352" width="8.81640625" style="493"/>
    <col min="4353" max="4363" width="5.7265625" style="493" customWidth="1"/>
    <col min="4364" max="4365" width="8.81640625" style="493"/>
    <col min="4366" max="4366" width="20" style="493" customWidth="1"/>
    <col min="4367" max="4367" width="10.26953125" style="493" bestFit="1" customWidth="1"/>
    <col min="4368" max="4368" width="10.26953125" style="493" customWidth="1"/>
    <col min="4369" max="4369" width="11.26953125" style="493" customWidth="1"/>
    <col min="4370" max="4370" width="12" style="493" customWidth="1"/>
    <col min="4371" max="4377" width="10.26953125" style="493" customWidth="1"/>
    <col min="4378" max="4389" width="0" style="493" hidden="1" customWidth="1"/>
    <col min="4390" max="4608" width="8.81640625" style="493"/>
    <col min="4609" max="4619" width="5.7265625" style="493" customWidth="1"/>
    <col min="4620" max="4621" width="8.81640625" style="493"/>
    <col min="4622" max="4622" width="20" style="493" customWidth="1"/>
    <col min="4623" max="4623" width="10.26953125" style="493" bestFit="1" customWidth="1"/>
    <col min="4624" max="4624" width="10.26953125" style="493" customWidth="1"/>
    <col min="4625" max="4625" width="11.26953125" style="493" customWidth="1"/>
    <col min="4626" max="4626" width="12" style="493" customWidth="1"/>
    <col min="4627" max="4633" width="10.26953125" style="493" customWidth="1"/>
    <col min="4634" max="4645" width="0" style="493" hidden="1" customWidth="1"/>
    <col min="4646" max="4864" width="8.81640625" style="493"/>
    <col min="4865" max="4875" width="5.7265625" style="493" customWidth="1"/>
    <col min="4876" max="4877" width="8.81640625" style="493"/>
    <col min="4878" max="4878" width="20" style="493" customWidth="1"/>
    <col min="4879" max="4879" width="10.26953125" style="493" bestFit="1" customWidth="1"/>
    <col min="4880" max="4880" width="10.26953125" style="493" customWidth="1"/>
    <col min="4881" max="4881" width="11.26953125" style="493" customWidth="1"/>
    <col min="4882" max="4882" width="12" style="493" customWidth="1"/>
    <col min="4883" max="4889" width="10.26953125" style="493" customWidth="1"/>
    <col min="4890" max="4901" width="0" style="493" hidden="1" customWidth="1"/>
    <col min="4902" max="5120" width="8.81640625" style="493"/>
    <col min="5121" max="5131" width="5.7265625" style="493" customWidth="1"/>
    <col min="5132" max="5133" width="8.81640625" style="493"/>
    <col min="5134" max="5134" width="20" style="493" customWidth="1"/>
    <col min="5135" max="5135" width="10.26953125" style="493" bestFit="1" customWidth="1"/>
    <col min="5136" max="5136" width="10.26953125" style="493" customWidth="1"/>
    <col min="5137" max="5137" width="11.26953125" style="493" customWidth="1"/>
    <col min="5138" max="5138" width="12" style="493" customWidth="1"/>
    <col min="5139" max="5145" width="10.26953125" style="493" customWidth="1"/>
    <col min="5146" max="5157" width="0" style="493" hidden="1" customWidth="1"/>
    <col min="5158" max="5376" width="8.81640625" style="493"/>
    <col min="5377" max="5387" width="5.7265625" style="493" customWidth="1"/>
    <col min="5388" max="5389" width="8.81640625" style="493"/>
    <col min="5390" max="5390" width="20" style="493" customWidth="1"/>
    <col min="5391" max="5391" width="10.26953125" style="493" bestFit="1" customWidth="1"/>
    <col min="5392" max="5392" width="10.26953125" style="493" customWidth="1"/>
    <col min="5393" max="5393" width="11.26953125" style="493" customWidth="1"/>
    <col min="5394" max="5394" width="12" style="493" customWidth="1"/>
    <col min="5395" max="5401" width="10.26953125" style="493" customWidth="1"/>
    <col min="5402" max="5413" width="0" style="493" hidden="1" customWidth="1"/>
    <col min="5414" max="5632" width="8.81640625" style="493"/>
    <col min="5633" max="5643" width="5.7265625" style="493" customWidth="1"/>
    <col min="5644" max="5645" width="8.81640625" style="493"/>
    <col min="5646" max="5646" width="20" style="493" customWidth="1"/>
    <col min="5647" max="5647" width="10.26953125" style="493" bestFit="1" customWidth="1"/>
    <col min="5648" max="5648" width="10.26953125" style="493" customWidth="1"/>
    <col min="5649" max="5649" width="11.26953125" style="493" customWidth="1"/>
    <col min="5650" max="5650" width="12" style="493" customWidth="1"/>
    <col min="5651" max="5657" width="10.26953125" style="493" customWidth="1"/>
    <col min="5658" max="5669" width="0" style="493" hidden="1" customWidth="1"/>
    <col min="5670" max="5888" width="8.81640625" style="493"/>
    <col min="5889" max="5899" width="5.7265625" style="493" customWidth="1"/>
    <col min="5900" max="5901" width="8.81640625" style="493"/>
    <col min="5902" max="5902" width="20" style="493" customWidth="1"/>
    <col min="5903" max="5903" width="10.26953125" style="493" bestFit="1" customWidth="1"/>
    <col min="5904" max="5904" width="10.26953125" style="493" customWidth="1"/>
    <col min="5905" max="5905" width="11.26953125" style="493" customWidth="1"/>
    <col min="5906" max="5906" width="12" style="493" customWidth="1"/>
    <col min="5907" max="5913" width="10.26953125" style="493" customWidth="1"/>
    <col min="5914" max="5925" width="0" style="493" hidden="1" customWidth="1"/>
    <col min="5926" max="6144" width="8.81640625" style="493"/>
    <col min="6145" max="6155" width="5.7265625" style="493" customWidth="1"/>
    <col min="6156" max="6157" width="8.81640625" style="493"/>
    <col min="6158" max="6158" width="20" style="493" customWidth="1"/>
    <col min="6159" max="6159" width="10.26953125" style="493" bestFit="1" customWidth="1"/>
    <col min="6160" max="6160" width="10.26953125" style="493" customWidth="1"/>
    <col min="6161" max="6161" width="11.26953125" style="493" customWidth="1"/>
    <col min="6162" max="6162" width="12" style="493" customWidth="1"/>
    <col min="6163" max="6169" width="10.26953125" style="493" customWidth="1"/>
    <col min="6170" max="6181" width="0" style="493" hidden="1" customWidth="1"/>
    <col min="6182" max="6400" width="8.81640625" style="493"/>
    <col min="6401" max="6411" width="5.7265625" style="493" customWidth="1"/>
    <col min="6412" max="6413" width="8.81640625" style="493"/>
    <col min="6414" max="6414" width="20" style="493" customWidth="1"/>
    <col min="6415" max="6415" width="10.26953125" style="493" bestFit="1" customWidth="1"/>
    <col min="6416" max="6416" width="10.26953125" style="493" customWidth="1"/>
    <col min="6417" max="6417" width="11.26953125" style="493" customWidth="1"/>
    <col min="6418" max="6418" width="12" style="493" customWidth="1"/>
    <col min="6419" max="6425" width="10.26953125" style="493" customWidth="1"/>
    <col min="6426" max="6437" width="0" style="493" hidden="1" customWidth="1"/>
    <col min="6438" max="6656" width="8.81640625" style="493"/>
    <col min="6657" max="6667" width="5.7265625" style="493" customWidth="1"/>
    <col min="6668" max="6669" width="8.81640625" style="493"/>
    <col min="6670" max="6670" width="20" style="493" customWidth="1"/>
    <col min="6671" max="6671" width="10.26953125" style="493" bestFit="1" customWidth="1"/>
    <col min="6672" max="6672" width="10.26953125" style="493" customWidth="1"/>
    <col min="6673" max="6673" width="11.26953125" style="493" customWidth="1"/>
    <col min="6674" max="6674" width="12" style="493" customWidth="1"/>
    <col min="6675" max="6681" width="10.26953125" style="493" customWidth="1"/>
    <col min="6682" max="6693" width="0" style="493" hidden="1" customWidth="1"/>
    <col min="6694" max="6912" width="8.81640625" style="493"/>
    <col min="6913" max="6923" width="5.7265625" style="493" customWidth="1"/>
    <col min="6924" max="6925" width="8.81640625" style="493"/>
    <col min="6926" max="6926" width="20" style="493" customWidth="1"/>
    <col min="6927" max="6927" width="10.26953125" style="493" bestFit="1" customWidth="1"/>
    <col min="6928" max="6928" width="10.26953125" style="493" customWidth="1"/>
    <col min="6929" max="6929" width="11.26953125" style="493" customWidth="1"/>
    <col min="6930" max="6930" width="12" style="493" customWidth="1"/>
    <col min="6931" max="6937" width="10.26953125" style="493" customWidth="1"/>
    <col min="6938" max="6949" width="0" style="493" hidden="1" customWidth="1"/>
    <col min="6950" max="7168" width="8.81640625" style="493"/>
    <col min="7169" max="7179" width="5.7265625" style="493" customWidth="1"/>
    <col min="7180" max="7181" width="8.81640625" style="493"/>
    <col min="7182" max="7182" width="20" style="493" customWidth="1"/>
    <col min="7183" max="7183" width="10.26953125" style="493" bestFit="1" customWidth="1"/>
    <col min="7184" max="7184" width="10.26953125" style="493" customWidth="1"/>
    <col min="7185" max="7185" width="11.26953125" style="493" customWidth="1"/>
    <col min="7186" max="7186" width="12" style="493" customWidth="1"/>
    <col min="7187" max="7193" width="10.26953125" style="493" customWidth="1"/>
    <col min="7194" max="7205" width="0" style="493" hidden="1" customWidth="1"/>
    <col min="7206" max="7424" width="8.81640625" style="493"/>
    <col min="7425" max="7435" width="5.7265625" style="493" customWidth="1"/>
    <col min="7436" max="7437" width="8.81640625" style="493"/>
    <col min="7438" max="7438" width="20" style="493" customWidth="1"/>
    <col min="7439" max="7439" width="10.26953125" style="493" bestFit="1" customWidth="1"/>
    <col min="7440" max="7440" width="10.26953125" style="493" customWidth="1"/>
    <col min="7441" max="7441" width="11.26953125" style="493" customWidth="1"/>
    <col min="7442" max="7442" width="12" style="493" customWidth="1"/>
    <col min="7443" max="7449" width="10.26953125" style="493" customWidth="1"/>
    <col min="7450" max="7461" width="0" style="493" hidden="1" customWidth="1"/>
    <col min="7462" max="7680" width="8.81640625" style="493"/>
    <col min="7681" max="7691" width="5.7265625" style="493" customWidth="1"/>
    <col min="7692" max="7693" width="8.81640625" style="493"/>
    <col min="7694" max="7694" width="20" style="493" customWidth="1"/>
    <col min="7695" max="7695" width="10.26953125" style="493" bestFit="1" customWidth="1"/>
    <col min="7696" max="7696" width="10.26953125" style="493" customWidth="1"/>
    <col min="7697" max="7697" width="11.26953125" style="493" customWidth="1"/>
    <col min="7698" max="7698" width="12" style="493" customWidth="1"/>
    <col min="7699" max="7705" width="10.26953125" style="493" customWidth="1"/>
    <col min="7706" max="7717" width="0" style="493" hidden="1" customWidth="1"/>
    <col min="7718" max="7936" width="8.81640625" style="493"/>
    <col min="7937" max="7947" width="5.7265625" style="493" customWidth="1"/>
    <col min="7948" max="7949" width="8.81640625" style="493"/>
    <col min="7950" max="7950" width="20" style="493" customWidth="1"/>
    <col min="7951" max="7951" width="10.26953125" style="493" bestFit="1" customWidth="1"/>
    <col min="7952" max="7952" width="10.26953125" style="493" customWidth="1"/>
    <col min="7953" max="7953" width="11.26953125" style="493" customWidth="1"/>
    <col min="7954" max="7954" width="12" style="493" customWidth="1"/>
    <col min="7955" max="7961" width="10.26953125" style="493" customWidth="1"/>
    <col min="7962" max="7973" width="0" style="493" hidden="1" customWidth="1"/>
    <col min="7974" max="8192" width="8.81640625" style="493"/>
    <col min="8193" max="8203" width="5.7265625" style="493" customWidth="1"/>
    <col min="8204" max="8205" width="8.81640625" style="493"/>
    <col min="8206" max="8206" width="20" style="493" customWidth="1"/>
    <col min="8207" max="8207" width="10.26953125" style="493" bestFit="1" customWidth="1"/>
    <col min="8208" max="8208" width="10.26953125" style="493" customWidth="1"/>
    <col min="8209" max="8209" width="11.26953125" style="493" customWidth="1"/>
    <col min="8210" max="8210" width="12" style="493" customWidth="1"/>
    <col min="8211" max="8217" width="10.26953125" style="493" customWidth="1"/>
    <col min="8218" max="8229" width="0" style="493" hidden="1" customWidth="1"/>
    <col min="8230" max="8448" width="8.81640625" style="493"/>
    <col min="8449" max="8459" width="5.7265625" style="493" customWidth="1"/>
    <col min="8460" max="8461" width="8.81640625" style="493"/>
    <col min="8462" max="8462" width="20" style="493" customWidth="1"/>
    <col min="8463" max="8463" width="10.26953125" style="493" bestFit="1" customWidth="1"/>
    <col min="8464" max="8464" width="10.26953125" style="493" customWidth="1"/>
    <col min="8465" max="8465" width="11.26953125" style="493" customWidth="1"/>
    <col min="8466" max="8466" width="12" style="493" customWidth="1"/>
    <col min="8467" max="8473" width="10.26953125" style="493" customWidth="1"/>
    <col min="8474" max="8485" width="0" style="493" hidden="1" customWidth="1"/>
    <col min="8486" max="8704" width="8.81640625" style="493"/>
    <col min="8705" max="8715" width="5.7265625" style="493" customWidth="1"/>
    <col min="8716" max="8717" width="8.81640625" style="493"/>
    <col min="8718" max="8718" width="20" style="493" customWidth="1"/>
    <col min="8719" max="8719" width="10.26953125" style="493" bestFit="1" customWidth="1"/>
    <col min="8720" max="8720" width="10.26953125" style="493" customWidth="1"/>
    <col min="8721" max="8721" width="11.26953125" style="493" customWidth="1"/>
    <col min="8722" max="8722" width="12" style="493" customWidth="1"/>
    <col min="8723" max="8729" width="10.26953125" style="493" customWidth="1"/>
    <col min="8730" max="8741" width="0" style="493" hidden="1" customWidth="1"/>
    <col min="8742" max="8960" width="8.81640625" style="493"/>
    <col min="8961" max="8971" width="5.7265625" style="493" customWidth="1"/>
    <col min="8972" max="8973" width="8.81640625" style="493"/>
    <col min="8974" max="8974" width="20" style="493" customWidth="1"/>
    <col min="8975" max="8975" width="10.26953125" style="493" bestFit="1" customWidth="1"/>
    <col min="8976" max="8976" width="10.26953125" style="493" customWidth="1"/>
    <col min="8977" max="8977" width="11.26953125" style="493" customWidth="1"/>
    <col min="8978" max="8978" width="12" style="493" customWidth="1"/>
    <col min="8979" max="8985" width="10.26953125" style="493" customWidth="1"/>
    <col min="8986" max="8997" width="0" style="493" hidden="1" customWidth="1"/>
    <col min="8998" max="9216" width="8.81640625" style="493"/>
    <col min="9217" max="9227" width="5.7265625" style="493" customWidth="1"/>
    <col min="9228" max="9229" width="8.81640625" style="493"/>
    <col min="9230" max="9230" width="20" style="493" customWidth="1"/>
    <col min="9231" max="9231" width="10.26953125" style="493" bestFit="1" customWidth="1"/>
    <col min="9232" max="9232" width="10.26953125" style="493" customWidth="1"/>
    <col min="9233" max="9233" width="11.26953125" style="493" customWidth="1"/>
    <col min="9234" max="9234" width="12" style="493" customWidth="1"/>
    <col min="9235" max="9241" width="10.26953125" style="493" customWidth="1"/>
    <col min="9242" max="9253" width="0" style="493" hidden="1" customWidth="1"/>
    <col min="9254" max="9472" width="8.81640625" style="493"/>
    <col min="9473" max="9483" width="5.7265625" style="493" customWidth="1"/>
    <col min="9484" max="9485" width="8.81640625" style="493"/>
    <col min="9486" max="9486" width="20" style="493" customWidth="1"/>
    <col min="9487" max="9487" width="10.26953125" style="493" bestFit="1" customWidth="1"/>
    <col min="9488" max="9488" width="10.26953125" style="493" customWidth="1"/>
    <col min="9489" max="9489" width="11.26953125" style="493" customWidth="1"/>
    <col min="9490" max="9490" width="12" style="493" customWidth="1"/>
    <col min="9491" max="9497" width="10.26953125" style="493" customWidth="1"/>
    <col min="9498" max="9509" width="0" style="493" hidden="1" customWidth="1"/>
    <col min="9510" max="9728" width="8.81640625" style="493"/>
    <col min="9729" max="9739" width="5.7265625" style="493" customWidth="1"/>
    <col min="9740" max="9741" width="8.81640625" style="493"/>
    <col min="9742" max="9742" width="20" style="493" customWidth="1"/>
    <col min="9743" max="9743" width="10.26953125" style="493" bestFit="1" customWidth="1"/>
    <col min="9744" max="9744" width="10.26953125" style="493" customWidth="1"/>
    <col min="9745" max="9745" width="11.26953125" style="493" customWidth="1"/>
    <col min="9746" max="9746" width="12" style="493" customWidth="1"/>
    <col min="9747" max="9753" width="10.26953125" style="493" customWidth="1"/>
    <col min="9754" max="9765" width="0" style="493" hidden="1" customWidth="1"/>
    <col min="9766" max="9984" width="8.81640625" style="493"/>
    <col min="9985" max="9995" width="5.7265625" style="493" customWidth="1"/>
    <col min="9996" max="9997" width="8.81640625" style="493"/>
    <col min="9998" max="9998" width="20" style="493" customWidth="1"/>
    <col min="9999" max="9999" width="10.26953125" style="493" bestFit="1" customWidth="1"/>
    <col min="10000" max="10000" width="10.26953125" style="493" customWidth="1"/>
    <col min="10001" max="10001" width="11.26953125" style="493" customWidth="1"/>
    <col min="10002" max="10002" width="12" style="493" customWidth="1"/>
    <col min="10003" max="10009" width="10.26953125" style="493" customWidth="1"/>
    <col min="10010" max="10021" width="0" style="493" hidden="1" customWidth="1"/>
    <col min="10022" max="10240" width="8.81640625" style="493"/>
    <col min="10241" max="10251" width="5.7265625" style="493" customWidth="1"/>
    <col min="10252" max="10253" width="8.81640625" style="493"/>
    <col min="10254" max="10254" width="20" style="493" customWidth="1"/>
    <col min="10255" max="10255" width="10.26953125" style="493" bestFit="1" customWidth="1"/>
    <col min="10256" max="10256" width="10.26953125" style="493" customWidth="1"/>
    <col min="10257" max="10257" width="11.26953125" style="493" customWidth="1"/>
    <col min="10258" max="10258" width="12" style="493" customWidth="1"/>
    <col min="10259" max="10265" width="10.26953125" style="493" customWidth="1"/>
    <col min="10266" max="10277" width="0" style="493" hidden="1" customWidth="1"/>
    <col min="10278" max="10496" width="8.81640625" style="493"/>
    <col min="10497" max="10507" width="5.7265625" style="493" customWidth="1"/>
    <col min="10508" max="10509" width="8.81640625" style="493"/>
    <col min="10510" max="10510" width="20" style="493" customWidth="1"/>
    <col min="10511" max="10511" width="10.26953125" style="493" bestFit="1" customWidth="1"/>
    <col min="10512" max="10512" width="10.26953125" style="493" customWidth="1"/>
    <col min="10513" max="10513" width="11.26953125" style="493" customWidth="1"/>
    <col min="10514" max="10514" width="12" style="493" customWidth="1"/>
    <col min="10515" max="10521" width="10.26953125" style="493" customWidth="1"/>
    <col min="10522" max="10533" width="0" style="493" hidden="1" customWidth="1"/>
    <col min="10534" max="10752" width="8.81640625" style="493"/>
    <col min="10753" max="10763" width="5.7265625" style="493" customWidth="1"/>
    <col min="10764" max="10765" width="8.81640625" style="493"/>
    <col min="10766" max="10766" width="20" style="493" customWidth="1"/>
    <col min="10767" max="10767" width="10.26953125" style="493" bestFit="1" customWidth="1"/>
    <col min="10768" max="10768" width="10.26953125" style="493" customWidth="1"/>
    <col min="10769" max="10769" width="11.26953125" style="493" customWidth="1"/>
    <col min="10770" max="10770" width="12" style="493" customWidth="1"/>
    <col min="10771" max="10777" width="10.26953125" style="493" customWidth="1"/>
    <col min="10778" max="10789" width="0" style="493" hidden="1" customWidth="1"/>
    <col min="10790" max="11008" width="8.81640625" style="493"/>
    <col min="11009" max="11019" width="5.7265625" style="493" customWidth="1"/>
    <col min="11020" max="11021" width="8.81640625" style="493"/>
    <col min="11022" max="11022" width="20" style="493" customWidth="1"/>
    <col min="11023" max="11023" width="10.26953125" style="493" bestFit="1" customWidth="1"/>
    <col min="11024" max="11024" width="10.26953125" style="493" customWidth="1"/>
    <col min="11025" max="11025" width="11.26953125" style="493" customWidth="1"/>
    <col min="11026" max="11026" width="12" style="493" customWidth="1"/>
    <col min="11027" max="11033" width="10.26953125" style="493" customWidth="1"/>
    <col min="11034" max="11045" width="0" style="493" hidden="1" customWidth="1"/>
    <col min="11046" max="11264" width="8.81640625" style="493"/>
    <col min="11265" max="11275" width="5.7265625" style="493" customWidth="1"/>
    <col min="11276" max="11277" width="8.81640625" style="493"/>
    <col min="11278" max="11278" width="20" style="493" customWidth="1"/>
    <col min="11279" max="11279" width="10.26953125" style="493" bestFit="1" customWidth="1"/>
    <col min="11280" max="11280" width="10.26953125" style="493" customWidth="1"/>
    <col min="11281" max="11281" width="11.26953125" style="493" customWidth="1"/>
    <col min="11282" max="11282" width="12" style="493" customWidth="1"/>
    <col min="11283" max="11289" width="10.26953125" style="493" customWidth="1"/>
    <col min="11290" max="11301" width="0" style="493" hidden="1" customWidth="1"/>
    <col min="11302" max="11520" width="8.81640625" style="493"/>
    <col min="11521" max="11531" width="5.7265625" style="493" customWidth="1"/>
    <col min="11532" max="11533" width="8.81640625" style="493"/>
    <col min="11534" max="11534" width="20" style="493" customWidth="1"/>
    <col min="11535" max="11535" width="10.26953125" style="493" bestFit="1" customWidth="1"/>
    <col min="11536" max="11536" width="10.26953125" style="493" customWidth="1"/>
    <col min="11537" max="11537" width="11.26953125" style="493" customWidth="1"/>
    <col min="11538" max="11538" width="12" style="493" customWidth="1"/>
    <col min="11539" max="11545" width="10.26953125" style="493" customWidth="1"/>
    <col min="11546" max="11557" width="0" style="493" hidden="1" customWidth="1"/>
    <col min="11558" max="11776" width="8.81640625" style="493"/>
    <col min="11777" max="11787" width="5.7265625" style="493" customWidth="1"/>
    <col min="11788" max="11789" width="8.81640625" style="493"/>
    <col min="11790" max="11790" width="20" style="493" customWidth="1"/>
    <col min="11791" max="11791" width="10.26953125" style="493" bestFit="1" customWidth="1"/>
    <col min="11792" max="11792" width="10.26953125" style="493" customWidth="1"/>
    <col min="11793" max="11793" width="11.26953125" style="493" customWidth="1"/>
    <col min="11794" max="11794" width="12" style="493" customWidth="1"/>
    <col min="11795" max="11801" width="10.26953125" style="493" customWidth="1"/>
    <col min="11802" max="11813" width="0" style="493" hidden="1" customWidth="1"/>
    <col min="11814" max="12032" width="8.81640625" style="493"/>
    <col min="12033" max="12043" width="5.7265625" style="493" customWidth="1"/>
    <col min="12044" max="12045" width="8.81640625" style="493"/>
    <col min="12046" max="12046" width="20" style="493" customWidth="1"/>
    <col min="12047" max="12047" width="10.26953125" style="493" bestFit="1" customWidth="1"/>
    <col min="12048" max="12048" width="10.26953125" style="493" customWidth="1"/>
    <col min="12049" max="12049" width="11.26953125" style="493" customWidth="1"/>
    <col min="12050" max="12050" width="12" style="493" customWidth="1"/>
    <col min="12051" max="12057" width="10.26953125" style="493" customWidth="1"/>
    <col min="12058" max="12069" width="0" style="493" hidden="1" customWidth="1"/>
    <col min="12070" max="12288" width="8.81640625" style="493"/>
    <col min="12289" max="12299" width="5.7265625" style="493" customWidth="1"/>
    <col min="12300" max="12301" width="8.81640625" style="493"/>
    <col min="12302" max="12302" width="20" style="493" customWidth="1"/>
    <col min="12303" max="12303" width="10.26953125" style="493" bestFit="1" customWidth="1"/>
    <col min="12304" max="12304" width="10.26953125" style="493" customWidth="1"/>
    <col min="12305" max="12305" width="11.26953125" style="493" customWidth="1"/>
    <col min="12306" max="12306" width="12" style="493" customWidth="1"/>
    <col min="12307" max="12313" width="10.26953125" style="493" customWidth="1"/>
    <col min="12314" max="12325" width="0" style="493" hidden="1" customWidth="1"/>
    <col min="12326" max="12544" width="8.81640625" style="493"/>
    <col min="12545" max="12555" width="5.7265625" style="493" customWidth="1"/>
    <col min="12556" max="12557" width="8.81640625" style="493"/>
    <col min="12558" max="12558" width="20" style="493" customWidth="1"/>
    <col min="12559" max="12559" width="10.26953125" style="493" bestFit="1" customWidth="1"/>
    <col min="12560" max="12560" width="10.26953125" style="493" customWidth="1"/>
    <col min="12561" max="12561" width="11.26953125" style="493" customWidth="1"/>
    <col min="12562" max="12562" width="12" style="493" customWidth="1"/>
    <col min="12563" max="12569" width="10.26953125" style="493" customWidth="1"/>
    <col min="12570" max="12581" width="0" style="493" hidden="1" customWidth="1"/>
    <col min="12582" max="12800" width="8.81640625" style="493"/>
    <col min="12801" max="12811" width="5.7265625" style="493" customWidth="1"/>
    <col min="12812" max="12813" width="8.81640625" style="493"/>
    <col min="12814" max="12814" width="20" style="493" customWidth="1"/>
    <col min="12815" max="12815" width="10.26953125" style="493" bestFit="1" customWidth="1"/>
    <col min="12816" max="12816" width="10.26953125" style="493" customWidth="1"/>
    <col min="12817" max="12817" width="11.26953125" style="493" customWidth="1"/>
    <col min="12818" max="12818" width="12" style="493" customWidth="1"/>
    <col min="12819" max="12825" width="10.26953125" style="493" customWidth="1"/>
    <col min="12826" max="12837" width="0" style="493" hidden="1" customWidth="1"/>
    <col min="12838" max="13056" width="8.81640625" style="493"/>
    <col min="13057" max="13067" width="5.7265625" style="493" customWidth="1"/>
    <col min="13068" max="13069" width="8.81640625" style="493"/>
    <col min="13070" max="13070" width="20" style="493" customWidth="1"/>
    <col min="13071" max="13071" width="10.26953125" style="493" bestFit="1" customWidth="1"/>
    <col min="13072" max="13072" width="10.26953125" style="493" customWidth="1"/>
    <col min="13073" max="13073" width="11.26953125" style="493" customWidth="1"/>
    <col min="13074" max="13074" width="12" style="493" customWidth="1"/>
    <col min="13075" max="13081" width="10.26953125" style="493" customWidth="1"/>
    <col min="13082" max="13093" width="0" style="493" hidden="1" customWidth="1"/>
    <col min="13094" max="13312" width="8.81640625" style="493"/>
    <col min="13313" max="13323" width="5.7265625" style="493" customWidth="1"/>
    <col min="13324" max="13325" width="8.81640625" style="493"/>
    <col min="13326" max="13326" width="20" style="493" customWidth="1"/>
    <col min="13327" max="13327" width="10.26953125" style="493" bestFit="1" customWidth="1"/>
    <col min="13328" max="13328" width="10.26953125" style="493" customWidth="1"/>
    <col min="13329" max="13329" width="11.26953125" style="493" customWidth="1"/>
    <col min="13330" max="13330" width="12" style="493" customWidth="1"/>
    <col min="13331" max="13337" width="10.26953125" style="493" customWidth="1"/>
    <col min="13338" max="13349" width="0" style="493" hidden="1" customWidth="1"/>
    <col min="13350" max="13568" width="8.81640625" style="493"/>
    <col min="13569" max="13579" width="5.7265625" style="493" customWidth="1"/>
    <col min="13580" max="13581" width="8.81640625" style="493"/>
    <col min="13582" max="13582" width="20" style="493" customWidth="1"/>
    <col min="13583" max="13583" width="10.26953125" style="493" bestFit="1" customWidth="1"/>
    <col min="13584" max="13584" width="10.26953125" style="493" customWidth="1"/>
    <col min="13585" max="13585" width="11.26953125" style="493" customWidth="1"/>
    <col min="13586" max="13586" width="12" style="493" customWidth="1"/>
    <col min="13587" max="13593" width="10.26953125" style="493" customWidth="1"/>
    <col min="13594" max="13605" width="0" style="493" hidden="1" customWidth="1"/>
    <col min="13606" max="13824" width="8.81640625" style="493"/>
    <col min="13825" max="13835" width="5.7265625" style="493" customWidth="1"/>
    <col min="13836" max="13837" width="8.81640625" style="493"/>
    <col min="13838" max="13838" width="20" style="493" customWidth="1"/>
    <col min="13839" max="13839" width="10.26953125" style="493" bestFit="1" customWidth="1"/>
    <col min="13840" max="13840" width="10.26953125" style="493" customWidth="1"/>
    <col min="13841" max="13841" width="11.26953125" style="493" customWidth="1"/>
    <col min="13842" max="13842" width="12" style="493" customWidth="1"/>
    <col min="13843" max="13849" width="10.26953125" style="493" customWidth="1"/>
    <col min="13850" max="13861" width="0" style="493" hidden="1" customWidth="1"/>
    <col min="13862" max="14080" width="8.81640625" style="493"/>
    <col min="14081" max="14091" width="5.7265625" style="493" customWidth="1"/>
    <col min="14092" max="14093" width="8.81640625" style="493"/>
    <col min="14094" max="14094" width="20" style="493" customWidth="1"/>
    <col min="14095" max="14095" width="10.26953125" style="493" bestFit="1" customWidth="1"/>
    <col min="14096" max="14096" width="10.26953125" style="493" customWidth="1"/>
    <col min="14097" max="14097" width="11.26953125" style="493" customWidth="1"/>
    <col min="14098" max="14098" width="12" style="493" customWidth="1"/>
    <col min="14099" max="14105" width="10.26953125" style="493" customWidth="1"/>
    <col min="14106" max="14117" width="0" style="493" hidden="1" customWidth="1"/>
    <col min="14118" max="14336" width="8.81640625" style="493"/>
    <col min="14337" max="14347" width="5.7265625" style="493" customWidth="1"/>
    <col min="14348" max="14349" width="8.81640625" style="493"/>
    <col min="14350" max="14350" width="20" style="493" customWidth="1"/>
    <col min="14351" max="14351" width="10.26953125" style="493" bestFit="1" customWidth="1"/>
    <col min="14352" max="14352" width="10.26953125" style="493" customWidth="1"/>
    <col min="14353" max="14353" width="11.26953125" style="493" customWidth="1"/>
    <col min="14354" max="14354" width="12" style="493" customWidth="1"/>
    <col min="14355" max="14361" width="10.26953125" style="493" customWidth="1"/>
    <col min="14362" max="14373" width="0" style="493" hidden="1" customWidth="1"/>
    <col min="14374" max="14592" width="8.81640625" style="493"/>
    <col min="14593" max="14603" width="5.7265625" style="493" customWidth="1"/>
    <col min="14604" max="14605" width="8.81640625" style="493"/>
    <col min="14606" max="14606" width="20" style="493" customWidth="1"/>
    <col min="14607" max="14607" width="10.26953125" style="493" bestFit="1" customWidth="1"/>
    <col min="14608" max="14608" width="10.26953125" style="493" customWidth="1"/>
    <col min="14609" max="14609" width="11.26953125" style="493" customWidth="1"/>
    <col min="14610" max="14610" width="12" style="493" customWidth="1"/>
    <col min="14611" max="14617" width="10.26953125" style="493" customWidth="1"/>
    <col min="14618" max="14629" width="0" style="493" hidden="1" customWidth="1"/>
    <col min="14630" max="14848" width="8.81640625" style="493"/>
    <col min="14849" max="14859" width="5.7265625" style="493" customWidth="1"/>
    <col min="14860" max="14861" width="8.81640625" style="493"/>
    <col min="14862" max="14862" width="20" style="493" customWidth="1"/>
    <col min="14863" max="14863" width="10.26953125" style="493" bestFit="1" customWidth="1"/>
    <col min="14864" max="14864" width="10.26953125" style="493" customWidth="1"/>
    <col min="14865" max="14865" width="11.26953125" style="493" customWidth="1"/>
    <col min="14866" max="14866" width="12" style="493" customWidth="1"/>
    <col min="14867" max="14873" width="10.26953125" style="493" customWidth="1"/>
    <col min="14874" max="14885" width="0" style="493" hidden="1" customWidth="1"/>
    <col min="14886" max="15104" width="8.81640625" style="493"/>
    <col min="15105" max="15115" width="5.7265625" style="493" customWidth="1"/>
    <col min="15116" max="15117" width="8.81640625" style="493"/>
    <col min="15118" max="15118" width="20" style="493" customWidth="1"/>
    <col min="15119" max="15119" width="10.26953125" style="493" bestFit="1" customWidth="1"/>
    <col min="15120" max="15120" width="10.26953125" style="493" customWidth="1"/>
    <col min="15121" max="15121" width="11.26953125" style="493" customWidth="1"/>
    <col min="15122" max="15122" width="12" style="493" customWidth="1"/>
    <col min="15123" max="15129" width="10.26953125" style="493" customWidth="1"/>
    <col min="15130" max="15141" width="0" style="493" hidden="1" customWidth="1"/>
    <col min="15142" max="15360" width="8.81640625" style="493"/>
    <col min="15361" max="15371" width="5.7265625" style="493" customWidth="1"/>
    <col min="15372" max="15373" width="8.81640625" style="493"/>
    <col min="15374" max="15374" width="20" style="493" customWidth="1"/>
    <col min="15375" max="15375" width="10.26953125" style="493" bestFit="1" customWidth="1"/>
    <col min="15376" max="15376" width="10.26953125" style="493" customWidth="1"/>
    <col min="15377" max="15377" width="11.26953125" style="493" customWidth="1"/>
    <col min="15378" max="15378" width="12" style="493" customWidth="1"/>
    <col min="15379" max="15385" width="10.26953125" style="493" customWidth="1"/>
    <col min="15386" max="15397" width="0" style="493" hidden="1" customWidth="1"/>
    <col min="15398" max="15616" width="8.81640625" style="493"/>
    <col min="15617" max="15627" width="5.7265625" style="493" customWidth="1"/>
    <col min="15628" max="15629" width="8.81640625" style="493"/>
    <col min="15630" max="15630" width="20" style="493" customWidth="1"/>
    <col min="15631" max="15631" width="10.26953125" style="493" bestFit="1" customWidth="1"/>
    <col min="15632" max="15632" width="10.26953125" style="493" customWidth="1"/>
    <col min="15633" max="15633" width="11.26953125" style="493" customWidth="1"/>
    <col min="15634" max="15634" width="12" style="493" customWidth="1"/>
    <col min="15635" max="15641" width="10.26953125" style="493" customWidth="1"/>
    <col min="15642" max="15653" width="0" style="493" hidden="1" customWidth="1"/>
    <col min="15654" max="15872" width="8.81640625" style="493"/>
    <col min="15873" max="15883" width="5.7265625" style="493" customWidth="1"/>
    <col min="15884" max="15885" width="8.81640625" style="493"/>
    <col min="15886" max="15886" width="20" style="493" customWidth="1"/>
    <col min="15887" max="15887" width="10.26953125" style="493" bestFit="1" customWidth="1"/>
    <col min="15888" max="15888" width="10.26953125" style="493" customWidth="1"/>
    <col min="15889" max="15889" width="11.26953125" style="493" customWidth="1"/>
    <col min="15890" max="15890" width="12" style="493" customWidth="1"/>
    <col min="15891" max="15897" width="10.26953125" style="493" customWidth="1"/>
    <col min="15898" max="15909" width="0" style="493" hidden="1" customWidth="1"/>
    <col min="15910" max="16128" width="8.81640625" style="493"/>
    <col min="16129" max="16139" width="5.7265625" style="493" customWidth="1"/>
    <col min="16140" max="16141" width="8.81640625" style="493"/>
    <col min="16142" max="16142" width="20" style="493" customWidth="1"/>
    <col min="16143" max="16143" width="10.26953125" style="493" bestFit="1" customWidth="1"/>
    <col min="16144" max="16144" width="10.26953125" style="493" customWidth="1"/>
    <col min="16145" max="16145" width="11.26953125" style="493" customWidth="1"/>
    <col min="16146" max="16146" width="12" style="493" customWidth="1"/>
    <col min="16147" max="16153" width="10.26953125" style="493" customWidth="1"/>
    <col min="16154" max="16165" width="0" style="493" hidden="1" customWidth="1"/>
    <col min="16166" max="16384" width="8.81640625" style="493"/>
  </cols>
  <sheetData>
    <row r="1" spans="1:27" ht="18" x14ac:dyDescent="0.3">
      <c r="A1" s="532" t="s">
        <v>338</v>
      </c>
    </row>
    <row r="2" spans="1:27" ht="15.5" x14ac:dyDescent="0.35">
      <c r="A2" s="531"/>
      <c r="N2" s="600" t="s">
        <v>337</v>
      </c>
      <c r="O2" s="600"/>
      <c r="P2" s="521" t="s">
        <v>336</v>
      </c>
    </row>
    <row r="3" spans="1:27" ht="16.5" customHeight="1" thickBot="1" x14ac:dyDescent="0.4">
      <c r="A3" s="522" t="s">
        <v>335</v>
      </c>
      <c r="N3" s="600" t="s">
        <v>334</v>
      </c>
      <c r="O3" s="600"/>
      <c r="P3" s="521" t="s">
        <v>333</v>
      </c>
    </row>
    <row r="4" spans="1:27" ht="18" customHeight="1" thickBot="1" x14ac:dyDescent="0.5">
      <c r="A4" s="518"/>
      <c r="B4" s="520" t="s">
        <v>324</v>
      </c>
      <c r="C4" s="519" t="s">
        <v>323</v>
      </c>
      <c r="D4" s="520" t="s">
        <v>322</v>
      </c>
      <c r="E4" s="519" t="s">
        <v>321</v>
      </c>
      <c r="F4" s="520" t="s">
        <v>320</v>
      </c>
      <c r="G4" s="519" t="s">
        <v>319</v>
      </c>
      <c r="H4" s="520" t="s">
        <v>318</v>
      </c>
      <c r="I4" s="519" t="s">
        <v>317</v>
      </c>
      <c r="J4" s="520" t="s">
        <v>316</v>
      </c>
      <c r="K4" s="519" t="s">
        <v>315</v>
      </c>
      <c r="L4" s="518" t="s">
        <v>314</v>
      </c>
      <c r="Z4" s="493" t="s">
        <v>332</v>
      </c>
      <c r="AA4" s="493">
        <f>COUNT(B5:B14)</f>
        <v>2</v>
      </c>
    </row>
    <row r="5" spans="1:27" ht="18" customHeight="1" x14ac:dyDescent="0.45">
      <c r="A5" s="516" t="s">
        <v>311</v>
      </c>
      <c r="B5" s="524">
        <v>13</v>
      </c>
      <c r="C5" s="524">
        <v>17</v>
      </c>
      <c r="D5" s="524">
        <v>10</v>
      </c>
      <c r="E5" s="524">
        <v>11</v>
      </c>
      <c r="F5" s="524" t="s">
        <v>184</v>
      </c>
      <c r="G5" s="524"/>
      <c r="H5" s="524"/>
      <c r="I5" s="524"/>
      <c r="J5" s="524"/>
      <c r="K5" s="524"/>
      <c r="L5" s="517">
        <f t="shared" ref="L5:L14" si="0">SUM(B5:K5)</f>
        <v>51</v>
      </c>
      <c r="N5" s="459" t="s">
        <v>331</v>
      </c>
      <c r="O5" s="458" t="s">
        <v>193</v>
      </c>
      <c r="P5" s="458" t="s">
        <v>195</v>
      </c>
      <c r="Q5" s="458" t="s">
        <v>330</v>
      </c>
      <c r="R5" s="458" t="s">
        <v>329</v>
      </c>
      <c r="S5" s="458" t="s">
        <v>86</v>
      </c>
      <c r="T5" s="457" t="s">
        <v>19</v>
      </c>
      <c r="U5" s="151" t="s">
        <v>20</v>
      </c>
      <c r="V5" s="91"/>
      <c r="W5" s="91"/>
      <c r="X5" s="91"/>
      <c r="Y5" s="521"/>
      <c r="Z5" s="493" t="s">
        <v>328</v>
      </c>
      <c r="AA5" s="493">
        <f>COUNT(B5:K5)</f>
        <v>4</v>
      </c>
    </row>
    <row r="6" spans="1:27" ht="18" customHeight="1" thickBot="1" x14ac:dyDescent="0.5">
      <c r="A6" s="514" t="s">
        <v>310</v>
      </c>
      <c r="B6" s="523">
        <v>36</v>
      </c>
      <c r="C6" s="523">
        <v>14</v>
      </c>
      <c r="D6" s="523">
        <v>9</v>
      </c>
      <c r="E6" s="523">
        <v>2</v>
      </c>
      <c r="F6" s="523"/>
      <c r="G6" s="523"/>
      <c r="H6" s="523"/>
      <c r="I6" s="523"/>
      <c r="J6" s="523"/>
      <c r="K6" s="523"/>
      <c r="L6" s="515">
        <f t="shared" si="0"/>
        <v>61</v>
      </c>
      <c r="N6" s="330">
        <f>1-P8</f>
        <v>0.95</v>
      </c>
      <c r="O6" s="149">
        <f>L44</f>
        <v>16.609192077201698</v>
      </c>
      <c r="P6" s="331" t="str">
        <f>IF(S6&lt;=P8,"ano","ne")</f>
        <v>ano</v>
      </c>
      <c r="Q6" s="530">
        <f>(AA4-1)*(AA5-1)</f>
        <v>3</v>
      </c>
      <c r="R6" s="149">
        <f>CHIINV(P8,Q6)</f>
        <v>7.8147279032511792</v>
      </c>
      <c r="S6" s="149">
        <f>CHIDIST(O6,Q6)</f>
        <v>8.5033162655590402E-4</v>
      </c>
      <c r="T6" s="149" t="str">
        <f>IF(P6="ano","zamítá se","nezamítá se")</f>
        <v>zamítá se</v>
      </c>
      <c r="U6" s="332" t="str">
        <f>IF(P6="ano","se přijme","x")</f>
        <v>se přijme</v>
      </c>
      <c r="V6" s="90"/>
      <c r="W6" s="90"/>
      <c r="X6" s="90"/>
      <c r="Y6" s="529"/>
    </row>
    <row r="7" spans="1:27" ht="18" customHeight="1" thickBot="1" x14ac:dyDescent="0.5">
      <c r="A7" s="516" t="s">
        <v>309</v>
      </c>
      <c r="B7" s="524"/>
      <c r="C7" s="524"/>
      <c r="D7" s="524"/>
      <c r="E7" s="524"/>
      <c r="F7" s="524"/>
      <c r="G7" s="524"/>
      <c r="H7" s="524"/>
      <c r="I7" s="524"/>
      <c r="J7" s="524"/>
      <c r="K7" s="524"/>
      <c r="L7" s="515">
        <f t="shared" si="0"/>
        <v>0</v>
      </c>
      <c r="N7" s="521"/>
      <c r="P7" s="527"/>
      <c r="Q7" s="527"/>
      <c r="R7" s="527"/>
      <c r="S7" s="527"/>
      <c r="T7" s="527"/>
      <c r="U7" s="527"/>
      <c r="V7" s="527"/>
      <c r="W7" s="527"/>
      <c r="X7" s="527"/>
      <c r="Y7" s="527"/>
    </row>
    <row r="8" spans="1:27" ht="18" customHeight="1" thickBot="1" x14ac:dyDescent="0.5">
      <c r="A8" s="514" t="s">
        <v>308</v>
      </c>
      <c r="B8" s="523"/>
      <c r="C8" s="523"/>
      <c r="D8" s="523"/>
      <c r="E8" s="523"/>
      <c r="F8" s="523"/>
      <c r="G8" s="523"/>
      <c r="H8" s="523"/>
      <c r="I8" s="523"/>
      <c r="J8" s="523"/>
      <c r="K8" s="523"/>
      <c r="L8" s="515">
        <f t="shared" si="0"/>
        <v>0</v>
      </c>
      <c r="N8" s="601" t="s">
        <v>327</v>
      </c>
      <c r="O8" s="602"/>
      <c r="P8" s="557">
        <v>0.05</v>
      </c>
      <c r="Q8" s="527"/>
      <c r="R8" s="527"/>
      <c r="S8" s="528"/>
      <c r="T8" s="527"/>
      <c r="U8" s="527"/>
      <c r="V8" s="527"/>
      <c r="W8" s="527"/>
      <c r="X8" s="527"/>
      <c r="Y8" s="527"/>
    </row>
    <row r="9" spans="1:27" ht="18" customHeight="1" x14ac:dyDescent="0.45">
      <c r="A9" s="516" t="s">
        <v>307</v>
      </c>
      <c r="B9" s="524"/>
      <c r="C9" s="524"/>
      <c r="D9" s="524"/>
      <c r="E9" s="524"/>
      <c r="F9" s="524"/>
      <c r="G9" s="524"/>
      <c r="H9" s="524"/>
      <c r="I9" s="524"/>
      <c r="J9" s="524"/>
      <c r="K9" s="524"/>
      <c r="L9" s="515">
        <f t="shared" si="0"/>
        <v>0</v>
      </c>
      <c r="N9" s="521"/>
      <c r="O9" s="527"/>
      <c r="P9" s="526"/>
      <c r="Q9" s="526"/>
      <c r="R9" s="526"/>
      <c r="S9" s="526"/>
      <c r="T9" s="526"/>
      <c r="U9" s="526"/>
      <c r="V9" s="526"/>
      <c r="W9" s="526"/>
      <c r="X9" s="526"/>
      <c r="Y9" s="526"/>
    </row>
    <row r="10" spans="1:27" ht="18" customHeight="1" x14ac:dyDescent="0.45">
      <c r="A10" s="514" t="s">
        <v>306</v>
      </c>
      <c r="B10" s="523"/>
      <c r="C10" s="523"/>
      <c r="D10" s="523"/>
      <c r="E10" s="523"/>
      <c r="F10" s="523"/>
      <c r="G10" s="523"/>
      <c r="H10" s="523"/>
      <c r="I10" s="523"/>
      <c r="J10" s="523"/>
      <c r="K10" s="523"/>
      <c r="L10" s="515">
        <f t="shared" si="0"/>
        <v>0</v>
      </c>
      <c r="N10" s="533" t="str">
        <f>IF(O6&gt;=R6,"Závislost X a Y je statisticky významná","Závislost X a Y je statisticky nevýznamná")</f>
        <v>Závislost X a Y je statisticky významná</v>
      </c>
      <c r="O10" s="534"/>
      <c r="P10" s="534"/>
      <c r="Q10" s="534"/>
    </row>
    <row r="11" spans="1:27" ht="18" customHeight="1" x14ac:dyDescent="0.45">
      <c r="A11" s="516" t="s">
        <v>305</v>
      </c>
      <c r="B11" s="524"/>
      <c r="C11" s="524"/>
      <c r="D11" s="524"/>
      <c r="E11" s="524"/>
      <c r="F11" s="524"/>
      <c r="G11" s="524"/>
      <c r="H11" s="524"/>
      <c r="I11" s="524"/>
      <c r="J11" s="524"/>
      <c r="K11" s="524"/>
      <c r="L11" s="515">
        <f t="shared" si="0"/>
        <v>0</v>
      </c>
      <c r="N11" s="521"/>
    </row>
    <row r="12" spans="1:27" ht="18" customHeight="1" x14ac:dyDescent="0.45">
      <c r="A12" s="514" t="s">
        <v>304</v>
      </c>
      <c r="B12" s="523"/>
      <c r="C12" s="523"/>
      <c r="D12" s="523"/>
      <c r="E12" s="523"/>
      <c r="F12" s="523"/>
      <c r="G12" s="523"/>
      <c r="H12" s="523"/>
      <c r="I12" s="523"/>
      <c r="J12" s="523"/>
      <c r="K12" s="523"/>
      <c r="L12" s="515">
        <f t="shared" si="0"/>
        <v>0</v>
      </c>
      <c r="N12" s="525" t="str">
        <f>IF(AE19,"","Teoretické četnosti by měly být větší než 5, proveďte vhodné sdružení řádků příp. sloupců!")</f>
        <v/>
      </c>
    </row>
    <row r="13" spans="1:27" ht="18" customHeight="1" x14ac:dyDescent="0.45">
      <c r="A13" s="516" t="s">
        <v>303</v>
      </c>
      <c r="B13" s="524"/>
      <c r="C13" s="524"/>
      <c r="D13" s="524"/>
      <c r="E13" s="524"/>
      <c r="F13" s="524"/>
      <c r="G13" s="524"/>
      <c r="H13" s="524"/>
      <c r="I13" s="524"/>
      <c r="J13" s="524"/>
      <c r="K13" s="524"/>
      <c r="L13" s="515">
        <f t="shared" si="0"/>
        <v>0</v>
      </c>
    </row>
    <row r="14" spans="1:27" ht="18" customHeight="1" thickBot="1" x14ac:dyDescent="0.5">
      <c r="A14" s="514" t="s">
        <v>302</v>
      </c>
      <c r="B14" s="523"/>
      <c r="C14" s="523"/>
      <c r="D14" s="523"/>
      <c r="E14" s="523"/>
      <c r="F14" s="523"/>
      <c r="G14" s="523"/>
      <c r="H14" s="523"/>
      <c r="I14" s="523"/>
      <c r="J14" s="523"/>
      <c r="K14" s="523"/>
      <c r="L14" s="512">
        <f t="shared" si="0"/>
        <v>0</v>
      </c>
    </row>
    <row r="15" spans="1:27" ht="18" customHeight="1" thickBot="1" x14ac:dyDescent="0.5">
      <c r="A15" s="511" t="s">
        <v>301</v>
      </c>
      <c r="B15" s="510">
        <f t="shared" ref="B15:L15" si="1">SUM(B5:B14)</f>
        <v>49</v>
      </c>
      <c r="C15" s="509">
        <f t="shared" si="1"/>
        <v>31</v>
      </c>
      <c r="D15" s="509">
        <f t="shared" si="1"/>
        <v>19</v>
      </c>
      <c r="E15" s="509">
        <f t="shared" si="1"/>
        <v>13</v>
      </c>
      <c r="F15" s="509">
        <f t="shared" si="1"/>
        <v>0</v>
      </c>
      <c r="G15" s="509">
        <f t="shared" si="1"/>
        <v>0</v>
      </c>
      <c r="H15" s="509">
        <f t="shared" si="1"/>
        <v>0</v>
      </c>
      <c r="I15" s="509">
        <f t="shared" si="1"/>
        <v>0</v>
      </c>
      <c r="J15" s="509">
        <f t="shared" si="1"/>
        <v>0</v>
      </c>
      <c r="K15" s="508">
        <f t="shared" si="1"/>
        <v>0</v>
      </c>
      <c r="L15" s="507">
        <f t="shared" si="1"/>
        <v>112</v>
      </c>
    </row>
    <row r="18" spans="1:36" ht="16" thickBot="1" x14ac:dyDescent="0.4">
      <c r="A18" s="522" t="s">
        <v>326</v>
      </c>
      <c r="B18" s="521"/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AE18" s="493" t="s">
        <v>325</v>
      </c>
    </row>
    <row r="19" spans="1:36" ht="18.5" thickBot="1" x14ac:dyDescent="0.5">
      <c r="A19" s="518"/>
      <c r="B19" s="520" t="s">
        <v>324</v>
      </c>
      <c r="C19" s="519" t="s">
        <v>323</v>
      </c>
      <c r="D19" s="520" t="s">
        <v>322</v>
      </c>
      <c r="E19" s="519" t="s">
        <v>321</v>
      </c>
      <c r="F19" s="520" t="s">
        <v>320</v>
      </c>
      <c r="G19" s="519" t="s">
        <v>319</v>
      </c>
      <c r="H19" s="520" t="s">
        <v>318</v>
      </c>
      <c r="I19" s="519" t="s">
        <v>317</v>
      </c>
      <c r="J19" s="520" t="s">
        <v>316</v>
      </c>
      <c r="K19" s="519" t="s">
        <v>315</v>
      </c>
      <c r="L19" s="518" t="s">
        <v>314</v>
      </c>
      <c r="Z19" s="493" t="s">
        <v>313</v>
      </c>
      <c r="AE19" s="493" t="b">
        <f>AND(AJ20,AJ21,AJ22,AJ23,AJ24,AJ25,AJ26,AJ27,AJ28,AJ29)</f>
        <v>1</v>
      </c>
      <c r="AJ19" s="493" t="s">
        <v>312</v>
      </c>
    </row>
    <row r="20" spans="1:36" ht="18" x14ac:dyDescent="0.45">
      <c r="A20" s="516" t="s">
        <v>311</v>
      </c>
      <c r="B20" s="513">
        <f t="shared" ref="B20:B29" si="2">L5*$B$15/$L$15</f>
        <v>22.3125</v>
      </c>
      <c r="C20" s="513">
        <f t="shared" ref="C20:K20" si="3">$L$5*C15/$L$15</f>
        <v>14.116071428571429</v>
      </c>
      <c r="D20" s="513">
        <f t="shared" si="3"/>
        <v>8.6517857142857135</v>
      </c>
      <c r="E20" s="513">
        <f t="shared" si="3"/>
        <v>5.9196428571428568</v>
      </c>
      <c r="F20" s="513">
        <f t="shared" si="3"/>
        <v>0</v>
      </c>
      <c r="G20" s="513">
        <f t="shared" si="3"/>
        <v>0</v>
      </c>
      <c r="H20" s="513">
        <f t="shared" si="3"/>
        <v>0</v>
      </c>
      <c r="I20" s="513">
        <f t="shared" si="3"/>
        <v>0</v>
      </c>
      <c r="J20" s="513">
        <f t="shared" si="3"/>
        <v>0</v>
      </c>
      <c r="K20" s="513">
        <f t="shared" si="3"/>
        <v>0</v>
      </c>
      <c r="L20" s="517">
        <f t="shared" ref="L20:L29" si="4">SUM(B20:K20)</f>
        <v>51</v>
      </c>
      <c r="Z20" s="493">
        <f t="shared" ref="Z20:Z29" si="5">IF(OR(B20=0,B20&gt;5),1,0)</f>
        <v>1</v>
      </c>
      <c r="AA20" s="493">
        <f t="shared" ref="AA20:AA29" si="6">IF(OR(C20=0,C20&gt;5),1,0)</f>
        <v>1</v>
      </c>
      <c r="AB20" s="493">
        <f t="shared" ref="AB20:AB29" si="7">IF(OR(D20=0,D20&gt;5),1,0)</f>
        <v>1</v>
      </c>
      <c r="AC20" s="493">
        <f t="shared" ref="AC20:AC29" si="8">IF(OR(E20=0,E20&gt;5),1,0)</f>
        <v>1</v>
      </c>
      <c r="AD20" s="493">
        <f t="shared" ref="AD20:AD29" si="9">IF(OR(F20=0,F20&gt;5),1,0)</f>
        <v>1</v>
      </c>
      <c r="AE20" s="493">
        <f t="shared" ref="AE20:AE29" si="10">IF(OR(G20=0,G20&gt;5),1,0)</f>
        <v>1</v>
      </c>
      <c r="AF20" s="493">
        <f t="shared" ref="AF20:AF29" si="11">IF(OR(H20=0,H20&gt;5),1,0)</f>
        <v>1</v>
      </c>
      <c r="AG20" s="493">
        <f t="shared" ref="AG20:AG29" si="12">IF(OR(I20=0,I20&gt;5),1,0)</f>
        <v>1</v>
      </c>
      <c r="AH20" s="493">
        <f t="shared" ref="AH20:AH29" si="13">IF(OR(J20=0,J20&gt;5),1,0)</f>
        <v>1</v>
      </c>
      <c r="AI20" s="493">
        <f t="shared" ref="AI20:AI29" si="14">IF(OR(K20=0,K20&gt;5),1,0)</f>
        <v>1</v>
      </c>
      <c r="AJ20" s="493" t="b">
        <f t="shared" ref="AJ20:AJ29" si="15">AND(Z20,AA20,AB20,AC20,AD20,AE20,AF20,AG20,AH20,AI20)</f>
        <v>1</v>
      </c>
    </row>
    <row r="21" spans="1:36" ht="18" x14ac:dyDescent="0.45">
      <c r="A21" s="514" t="s">
        <v>310</v>
      </c>
      <c r="B21" s="513">
        <f t="shared" si="2"/>
        <v>26.6875</v>
      </c>
      <c r="C21" s="513">
        <f t="shared" ref="C21:K21" si="16">$L$6*C15/$L$15</f>
        <v>16.883928571428573</v>
      </c>
      <c r="D21" s="513">
        <f t="shared" si="16"/>
        <v>10.348214285714286</v>
      </c>
      <c r="E21" s="513">
        <f t="shared" si="16"/>
        <v>7.0803571428571432</v>
      </c>
      <c r="F21" s="513">
        <f t="shared" si="16"/>
        <v>0</v>
      </c>
      <c r="G21" s="513">
        <f t="shared" si="16"/>
        <v>0</v>
      </c>
      <c r="H21" s="513">
        <f t="shared" si="16"/>
        <v>0</v>
      </c>
      <c r="I21" s="513">
        <f t="shared" si="16"/>
        <v>0</v>
      </c>
      <c r="J21" s="513">
        <f t="shared" si="16"/>
        <v>0</v>
      </c>
      <c r="K21" s="513">
        <f t="shared" si="16"/>
        <v>0</v>
      </c>
      <c r="L21" s="515">
        <f t="shared" si="4"/>
        <v>61</v>
      </c>
      <c r="Z21" s="493">
        <f t="shared" si="5"/>
        <v>1</v>
      </c>
      <c r="AA21" s="493">
        <f t="shared" si="6"/>
        <v>1</v>
      </c>
      <c r="AB21" s="493">
        <f t="shared" si="7"/>
        <v>1</v>
      </c>
      <c r="AC21" s="493">
        <f t="shared" si="8"/>
        <v>1</v>
      </c>
      <c r="AD21" s="493">
        <f t="shared" si="9"/>
        <v>1</v>
      </c>
      <c r="AE21" s="493">
        <f t="shared" si="10"/>
        <v>1</v>
      </c>
      <c r="AF21" s="493">
        <f t="shared" si="11"/>
        <v>1</v>
      </c>
      <c r="AG21" s="493">
        <f t="shared" si="12"/>
        <v>1</v>
      </c>
      <c r="AH21" s="493">
        <f t="shared" si="13"/>
        <v>1</v>
      </c>
      <c r="AI21" s="493">
        <f t="shared" si="14"/>
        <v>1</v>
      </c>
      <c r="AJ21" s="493" t="b">
        <f t="shared" si="15"/>
        <v>1</v>
      </c>
    </row>
    <row r="22" spans="1:36" ht="18" x14ac:dyDescent="0.45">
      <c r="A22" s="516" t="s">
        <v>309</v>
      </c>
      <c r="B22" s="513">
        <f t="shared" si="2"/>
        <v>0</v>
      </c>
      <c r="C22" s="513">
        <f t="shared" ref="C22:K22" si="17">$L$7*C15/$L$15</f>
        <v>0</v>
      </c>
      <c r="D22" s="513">
        <f t="shared" si="17"/>
        <v>0</v>
      </c>
      <c r="E22" s="513">
        <f t="shared" si="17"/>
        <v>0</v>
      </c>
      <c r="F22" s="513">
        <f t="shared" si="17"/>
        <v>0</v>
      </c>
      <c r="G22" s="513">
        <f t="shared" si="17"/>
        <v>0</v>
      </c>
      <c r="H22" s="513">
        <f t="shared" si="17"/>
        <v>0</v>
      </c>
      <c r="I22" s="513">
        <f t="shared" si="17"/>
        <v>0</v>
      </c>
      <c r="J22" s="513">
        <f t="shared" si="17"/>
        <v>0</v>
      </c>
      <c r="K22" s="513">
        <f t="shared" si="17"/>
        <v>0</v>
      </c>
      <c r="L22" s="515">
        <f t="shared" si="4"/>
        <v>0</v>
      </c>
      <c r="Z22" s="493">
        <f t="shared" si="5"/>
        <v>1</v>
      </c>
      <c r="AA22" s="493">
        <f t="shared" si="6"/>
        <v>1</v>
      </c>
      <c r="AB22" s="493">
        <f t="shared" si="7"/>
        <v>1</v>
      </c>
      <c r="AC22" s="493">
        <f t="shared" si="8"/>
        <v>1</v>
      </c>
      <c r="AD22" s="493">
        <f t="shared" si="9"/>
        <v>1</v>
      </c>
      <c r="AE22" s="493">
        <f t="shared" si="10"/>
        <v>1</v>
      </c>
      <c r="AF22" s="493">
        <f t="shared" si="11"/>
        <v>1</v>
      </c>
      <c r="AG22" s="493">
        <f t="shared" si="12"/>
        <v>1</v>
      </c>
      <c r="AH22" s="493">
        <f t="shared" si="13"/>
        <v>1</v>
      </c>
      <c r="AI22" s="493">
        <f t="shared" si="14"/>
        <v>1</v>
      </c>
      <c r="AJ22" s="493" t="b">
        <f t="shared" si="15"/>
        <v>1</v>
      </c>
    </row>
    <row r="23" spans="1:36" ht="18" x14ac:dyDescent="0.45">
      <c r="A23" s="514" t="s">
        <v>308</v>
      </c>
      <c r="B23" s="513">
        <f t="shared" si="2"/>
        <v>0</v>
      </c>
      <c r="C23" s="513">
        <f t="shared" ref="C23:K23" si="18">$L$8*C15/$L$15</f>
        <v>0</v>
      </c>
      <c r="D23" s="513">
        <f t="shared" si="18"/>
        <v>0</v>
      </c>
      <c r="E23" s="513">
        <f t="shared" si="18"/>
        <v>0</v>
      </c>
      <c r="F23" s="513">
        <f t="shared" si="18"/>
        <v>0</v>
      </c>
      <c r="G23" s="513">
        <f t="shared" si="18"/>
        <v>0</v>
      </c>
      <c r="H23" s="513">
        <f t="shared" si="18"/>
        <v>0</v>
      </c>
      <c r="I23" s="513">
        <f t="shared" si="18"/>
        <v>0</v>
      </c>
      <c r="J23" s="513">
        <f t="shared" si="18"/>
        <v>0</v>
      </c>
      <c r="K23" s="513">
        <f t="shared" si="18"/>
        <v>0</v>
      </c>
      <c r="L23" s="515">
        <f t="shared" si="4"/>
        <v>0</v>
      </c>
      <c r="Z23" s="493">
        <f t="shared" si="5"/>
        <v>1</v>
      </c>
      <c r="AA23" s="493">
        <f t="shared" si="6"/>
        <v>1</v>
      </c>
      <c r="AB23" s="493">
        <f t="shared" si="7"/>
        <v>1</v>
      </c>
      <c r="AC23" s="493">
        <f t="shared" si="8"/>
        <v>1</v>
      </c>
      <c r="AD23" s="493">
        <f t="shared" si="9"/>
        <v>1</v>
      </c>
      <c r="AE23" s="493">
        <f t="shared" si="10"/>
        <v>1</v>
      </c>
      <c r="AF23" s="493">
        <f t="shared" si="11"/>
        <v>1</v>
      </c>
      <c r="AG23" s="493">
        <f t="shared" si="12"/>
        <v>1</v>
      </c>
      <c r="AH23" s="493">
        <f t="shared" si="13"/>
        <v>1</v>
      </c>
      <c r="AI23" s="493">
        <f t="shared" si="14"/>
        <v>1</v>
      </c>
      <c r="AJ23" s="493" t="b">
        <f t="shared" si="15"/>
        <v>1</v>
      </c>
    </row>
    <row r="24" spans="1:36" ht="18" x14ac:dyDescent="0.45">
      <c r="A24" s="516" t="s">
        <v>307</v>
      </c>
      <c r="B24" s="513">
        <f t="shared" si="2"/>
        <v>0</v>
      </c>
      <c r="C24" s="513">
        <f t="shared" ref="C24:K24" si="19">$L$9*C15/$L$15</f>
        <v>0</v>
      </c>
      <c r="D24" s="513">
        <f t="shared" si="19"/>
        <v>0</v>
      </c>
      <c r="E24" s="513">
        <f t="shared" si="19"/>
        <v>0</v>
      </c>
      <c r="F24" s="513">
        <f t="shared" si="19"/>
        <v>0</v>
      </c>
      <c r="G24" s="513">
        <f t="shared" si="19"/>
        <v>0</v>
      </c>
      <c r="H24" s="513">
        <f t="shared" si="19"/>
        <v>0</v>
      </c>
      <c r="I24" s="513">
        <f t="shared" si="19"/>
        <v>0</v>
      </c>
      <c r="J24" s="513">
        <f t="shared" si="19"/>
        <v>0</v>
      </c>
      <c r="K24" s="513">
        <f t="shared" si="19"/>
        <v>0</v>
      </c>
      <c r="L24" s="515">
        <f t="shared" si="4"/>
        <v>0</v>
      </c>
      <c r="Z24" s="493">
        <f t="shared" si="5"/>
        <v>1</v>
      </c>
      <c r="AA24" s="493">
        <f t="shared" si="6"/>
        <v>1</v>
      </c>
      <c r="AB24" s="493">
        <f t="shared" si="7"/>
        <v>1</v>
      </c>
      <c r="AC24" s="493">
        <f t="shared" si="8"/>
        <v>1</v>
      </c>
      <c r="AD24" s="493">
        <f t="shared" si="9"/>
        <v>1</v>
      </c>
      <c r="AE24" s="493">
        <f t="shared" si="10"/>
        <v>1</v>
      </c>
      <c r="AF24" s="493">
        <f t="shared" si="11"/>
        <v>1</v>
      </c>
      <c r="AG24" s="493">
        <f t="shared" si="12"/>
        <v>1</v>
      </c>
      <c r="AH24" s="493">
        <f t="shared" si="13"/>
        <v>1</v>
      </c>
      <c r="AI24" s="493">
        <f t="shared" si="14"/>
        <v>1</v>
      </c>
      <c r="AJ24" s="493" t="b">
        <f t="shared" si="15"/>
        <v>1</v>
      </c>
    </row>
    <row r="25" spans="1:36" ht="18" x14ac:dyDescent="0.45">
      <c r="A25" s="514" t="s">
        <v>306</v>
      </c>
      <c r="B25" s="513">
        <f t="shared" si="2"/>
        <v>0</v>
      </c>
      <c r="C25" s="513">
        <f t="shared" ref="C25:K25" si="20">$L$10*C15/$L$15</f>
        <v>0</v>
      </c>
      <c r="D25" s="513">
        <f t="shared" si="20"/>
        <v>0</v>
      </c>
      <c r="E25" s="513">
        <f t="shared" si="20"/>
        <v>0</v>
      </c>
      <c r="F25" s="513">
        <f t="shared" si="20"/>
        <v>0</v>
      </c>
      <c r="G25" s="513">
        <f t="shared" si="20"/>
        <v>0</v>
      </c>
      <c r="H25" s="513">
        <f t="shared" si="20"/>
        <v>0</v>
      </c>
      <c r="I25" s="513">
        <f t="shared" si="20"/>
        <v>0</v>
      </c>
      <c r="J25" s="513">
        <f t="shared" si="20"/>
        <v>0</v>
      </c>
      <c r="K25" s="513">
        <f t="shared" si="20"/>
        <v>0</v>
      </c>
      <c r="L25" s="515">
        <f t="shared" si="4"/>
        <v>0</v>
      </c>
      <c r="Z25" s="493">
        <f t="shared" si="5"/>
        <v>1</v>
      </c>
      <c r="AA25" s="493">
        <f t="shared" si="6"/>
        <v>1</v>
      </c>
      <c r="AB25" s="493">
        <f t="shared" si="7"/>
        <v>1</v>
      </c>
      <c r="AC25" s="493">
        <f t="shared" si="8"/>
        <v>1</v>
      </c>
      <c r="AD25" s="493">
        <f t="shared" si="9"/>
        <v>1</v>
      </c>
      <c r="AE25" s="493">
        <f t="shared" si="10"/>
        <v>1</v>
      </c>
      <c r="AF25" s="493">
        <f t="shared" si="11"/>
        <v>1</v>
      </c>
      <c r="AG25" s="493">
        <f t="shared" si="12"/>
        <v>1</v>
      </c>
      <c r="AH25" s="493">
        <f t="shared" si="13"/>
        <v>1</v>
      </c>
      <c r="AI25" s="493">
        <f t="shared" si="14"/>
        <v>1</v>
      </c>
      <c r="AJ25" s="493" t="b">
        <f t="shared" si="15"/>
        <v>1</v>
      </c>
    </row>
    <row r="26" spans="1:36" ht="18" x14ac:dyDescent="0.45">
      <c r="A26" s="516" t="s">
        <v>305</v>
      </c>
      <c r="B26" s="513">
        <f t="shared" si="2"/>
        <v>0</v>
      </c>
      <c r="C26" s="513">
        <f t="shared" ref="C26:K26" si="21">$L$11*C15/$L$15</f>
        <v>0</v>
      </c>
      <c r="D26" s="513">
        <f t="shared" si="21"/>
        <v>0</v>
      </c>
      <c r="E26" s="513">
        <f t="shared" si="21"/>
        <v>0</v>
      </c>
      <c r="F26" s="513">
        <f t="shared" si="21"/>
        <v>0</v>
      </c>
      <c r="G26" s="513">
        <f t="shared" si="21"/>
        <v>0</v>
      </c>
      <c r="H26" s="513">
        <f t="shared" si="21"/>
        <v>0</v>
      </c>
      <c r="I26" s="513">
        <f t="shared" si="21"/>
        <v>0</v>
      </c>
      <c r="J26" s="513">
        <f t="shared" si="21"/>
        <v>0</v>
      </c>
      <c r="K26" s="513">
        <f t="shared" si="21"/>
        <v>0</v>
      </c>
      <c r="L26" s="515">
        <f t="shared" si="4"/>
        <v>0</v>
      </c>
      <c r="Z26" s="493">
        <f t="shared" si="5"/>
        <v>1</v>
      </c>
      <c r="AA26" s="493">
        <f t="shared" si="6"/>
        <v>1</v>
      </c>
      <c r="AB26" s="493">
        <f t="shared" si="7"/>
        <v>1</v>
      </c>
      <c r="AC26" s="493">
        <f t="shared" si="8"/>
        <v>1</v>
      </c>
      <c r="AD26" s="493">
        <f t="shared" si="9"/>
        <v>1</v>
      </c>
      <c r="AE26" s="493">
        <f t="shared" si="10"/>
        <v>1</v>
      </c>
      <c r="AF26" s="493">
        <f t="shared" si="11"/>
        <v>1</v>
      </c>
      <c r="AG26" s="493">
        <f t="shared" si="12"/>
        <v>1</v>
      </c>
      <c r="AH26" s="493">
        <f t="shared" si="13"/>
        <v>1</v>
      </c>
      <c r="AI26" s="493">
        <f t="shared" si="14"/>
        <v>1</v>
      </c>
      <c r="AJ26" s="493" t="b">
        <f t="shared" si="15"/>
        <v>1</v>
      </c>
    </row>
    <row r="27" spans="1:36" ht="18" x14ac:dyDescent="0.45">
      <c r="A27" s="514" t="s">
        <v>304</v>
      </c>
      <c r="B27" s="513">
        <f t="shared" si="2"/>
        <v>0</v>
      </c>
      <c r="C27" s="513">
        <f t="shared" ref="C27:K27" si="22">$L$12*C15/$L$15</f>
        <v>0</v>
      </c>
      <c r="D27" s="513">
        <f t="shared" si="22"/>
        <v>0</v>
      </c>
      <c r="E27" s="513">
        <f t="shared" si="22"/>
        <v>0</v>
      </c>
      <c r="F27" s="513">
        <f t="shared" si="22"/>
        <v>0</v>
      </c>
      <c r="G27" s="513">
        <f t="shared" si="22"/>
        <v>0</v>
      </c>
      <c r="H27" s="513">
        <f t="shared" si="22"/>
        <v>0</v>
      </c>
      <c r="I27" s="513">
        <f t="shared" si="22"/>
        <v>0</v>
      </c>
      <c r="J27" s="513">
        <f t="shared" si="22"/>
        <v>0</v>
      </c>
      <c r="K27" s="513">
        <f t="shared" si="22"/>
        <v>0</v>
      </c>
      <c r="L27" s="515">
        <f t="shared" si="4"/>
        <v>0</v>
      </c>
      <c r="Z27" s="493">
        <f t="shared" si="5"/>
        <v>1</v>
      </c>
      <c r="AA27" s="493">
        <f t="shared" si="6"/>
        <v>1</v>
      </c>
      <c r="AB27" s="493">
        <f t="shared" si="7"/>
        <v>1</v>
      </c>
      <c r="AC27" s="493">
        <f t="shared" si="8"/>
        <v>1</v>
      </c>
      <c r="AD27" s="493">
        <f t="shared" si="9"/>
        <v>1</v>
      </c>
      <c r="AE27" s="493">
        <f t="shared" si="10"/>
        <v>1</v>
      </c>
      <c r="AF27" s="493">
        <f t="shared" si="11"/>
        <v>1</v>
      </c>
      <c r="AG27" s="493">
        <f t="shared" si="12"/>
        <v>1</v>
      </c>
      <c r="AH27" s="493">
        <f t="shared" si="13"/>
        <v>1</v>
      </c>
      <c r="AI27" s="493">
        <f t="shared" si="14"/>
        <v>1</v>
      </c>
      <c r="AJ27" s="493" t="b">
        <f t="shared" si="15"/>
        <v>1</v>
      </c>
    </row>
    <row r="28" spans="1:36" ht="18" x14ac:dyDescent="0.45">
      <c r="A28" s="516" t="s">
        <v>303</v>
      </c>
      <c r="B28" s="513">
        <f t="shared" si="2"/>
        <v>0</v>
      </c>
      <c r="C28" s="513">
        <f t="shared" ref="C28:K28" si="23">$L$13*C15/$L$15</f>
        <v>0</v>
      </c>
      <c r="D28" s="513">
        <f t="shared" si="23"/>
        <v>0</v>
      </c>
      <c r="E28" s="513">
        <f t="shared" si="23"/>
        <v>0</v>
      </c>
      <c r="F28" s="513">
        <f t="shared" si="23"/>
        <v>0</v>
      </c>
      <c r="G28" s="513">
        <f t="shared" si="23"/>
        <v>0</v>
      </c>
      <c r="H28" s="513">
        <f t="shared" si="23"/>
        <v>0</v>
      </c>
      <c r="I28" s="513">
        <f t="shared" si="23"/>
        <v>0</v>
      </c>
      <c r="J28" s="513">
        <f t="shared" si="23"/>
        <v>0</v>
      </c>
      <c r="K28" s="513">
        <f t="shared" si="23"/>
        <v>0</v>
      </c>
      <c r="L28" s="515">
        <f t="shared" si="4"/>
        <v>0</v>
      </c>
      <c r="Z28" s="493">
        <f t="shared" si="5"/>
        <v>1</v>
      </c>
      <c r="AA28" s="493">
        <f t="shared" si="6"/>
        <v>1</v>
      </c>
      <c r="AB28" s="493">
        <f t="shared" si="7"/>
        <v>1</v>
      </c>
      <c r="AC28" s="493">
        <f t="shared" si="8"/>
        <v>1</v>
      </c>
      <c r="AD28" s="493">
        <f t="shared" si="9"/>
        <v>1</v>
      </c>
      <c r="AE28" s="493">
        <f t="shared" si="10"/>
        <v>1</v>
      </c>
      <c r="AF28" s="493">
        <f t="shared" si="11"/>
        <v>1</v>
      </c>
      <c r="AG28" s="493">
        <f t="shared" si="12"/>
        <v>1</v>
      </c>
      <c r="AH28" s="493">
        <f t="shared" si="13"/>
        <v>1</v>
      </c>
      <c r="AI28" s="493">
        <f t="shared" si="14"/>
        <v>1</v>
      </c>
      <c r="AJ28" s="493" t="b">
        <f t="shared" si="15"/>
        <v>1</v>
      </c>
    </row>
    <row r="29" spans="1:36" ht="18.5" thickBot="1" x14ac:dyDescent="0.5">
      <c r="A29" s="514" t="s">
        <v>302</v>
      </c>
      <c r="B29" s="513">
        <f t="shared" si="2"/>
        <v>0</v>
      </c>
      <c r="C29" s="513">
        <f t="shared" ref="C29:K29" si="24">$L$14*C15/$L$15</f>
        <v>0</v>
      </c>
      <c r="D29" s="513">
        <f t="shared" si="24"/>
        <v>0</v>
      </c>
      <c r="E29" s="513">
        <f t="shared" si="24"/>
        <v>0</v>
      </c>
      <c r="F29" s="513">
        <f t="shared" si="24"/>
        <v>0</v>
      </c>
      <c r="G29" s="513">
        <f t="shared" si="24"/>
        <v>0</v>
      </c>
      <c r="H29" s="513">
        <f t="shared" si="24"/>
        <v>0</v>
      </c>
      <c r="I29" s="513">
        <f t="shared" si="24"/>
        <v>0</v>
      </c>
      <c r="J29" s="513">
        <f t="shared" si="24"/>
        <v>0</v>
      </c>
      <c r="K29" s="513">
        <f t="shared" si="24"/>
        <v>0</v>
      </c>
      <c r="L29" s="512">
        <f t="shared" si="4"/>
        <v>0</v>
      </c>
      <c r="Z29" s="493">
        <f t="shared" si="5"/>
        <v>1</v>
      </c>
      <c r="AA29" s="493">
        <f t="shared" si="6"/>
        <v>1</v>
      </c>
      <c r="AB29" s="493">
        <f t="shared" si="7"/>
        <v>1</v>
      </c>
      <c r="AC29" s="493">
        <f t="shared" si="8"/>
        <v>1</v>
      </c>
      <c r="AD29" s="493">
        <f t="shared" si="9"/>
        <v>1</v>
      </c>
      <c r="AE29" s="493">
        <f t="shared" si="10"/>
        <v>1</v>
      </c>
      <c r="AF29" s="493">
        <f t="shared" si="11"/>
        <v>1</v>
      </c>
      <c r="AG29" s="493">
        <f t="shared" si="12"/>
        <v>1</v>
      </c>
      <c r="AH29" s="493">
        <f t="shared" si="13"/>
        <v>1</v>
      </c>
      <c r="AI29" s="493">
        <f t="shared" si="14"/>
        <v>1</v>
      </c>
      <c r="AJ29" s="493" t="b">
        <f t="shared" si="15"/>
        <v>1</v>
      </c>
    </row>
    <row r="30" spans="1:36" ht="18" thickBot="1" x14ac:dyDescent="0.5">
      <c r="A30" s="511" t="s">
        <v>301</v>
      </c>
      <c r="B30" s="510">
        <f t="shared" ref="B30:L30" si="25">SUM(B20:B29)</f>
        <v>49</v>
      </c>
      <c r="C30" s="509">
        <f t="shared" si="25"/>
        <v>31</v>
      </c>
      <c r="D30" s="509">
        <f t="shared" si="25"/>
        <v>19</v>
      </c>
      <c r="E30" s="509">
        <f t="shared" si="25"/>
        <v>13</v>
      </c>
      <c r="F30" s="509">
        <f t="shared" si="25"/>
        <v>0</v>
      </c>
      <c r="G30" s="509">
        <f t="shared" si="25"/>
        <v>0</v>
      </c>
      <c r="H30" s="509">
        <f t="shared" si="25"/>
        <v>0</v>
      </c>
      <c r="I30" s="509">
        <f t="shared" si="25"/>
        <v>0</v>
      </c>
      <c r="J30" s="509">
        <f t="shared" si="25"/>
        <v>0</v>
      </c>
      <c r="K30" s="508">
        <f t="shared" si="25"/>
        <v>0</v>
      </c>
      <c r="L30" s="507">
        <f t="shared" si="25"/>
        <v>112</v>
      </c>
    </row>
    <row r="32" spans="1:36" hidden="1" x14ac:dyDescent="0.3"/>
    <row r="33" spans="1:12" ht="13.5" hidden="1" thickBot="1" x14ac:dyDescent="0.35">
      <c r="A33" s="499"/>
      <c r="B33" s="498" t="s">
        <v>300</v>
      </c>
      <c r="C33" s="497" t="s">
        <v>299</v>
      </c>
      <c r="D33" s="497" t="s">
        <v>298</v>
      </c>
      <c r="E33" s="497" t="s">
        <v>297</v>
      </c>
      <c r="F33" s="497" t="s">
        <v>296</v>
      </c>
      <c r="G33" s="497" t="s">
        <v>295</v>
      </c>
      <c r="H33" s="497" t="s">
        <v>294</v>
      </c>
      <c r="I33" s="497" t="s">
        <v>293</v>
      </c>
      <c r="J33" s="497" t="s">
        <v>292</v>
      </c>
      <c r="K33" s="496" t="s">
        <v>291</v>
      </c>
      <c r="L33" s="495"/>
    </row>
    <row r="34" spans="1:12" hidden="1" x14ac:dyDescent="0.3">
      <c r="A34" s="506" t="s">
        <v>290</v>
      </c>
      <c r="B34" s="501">
        <f t="shared" ref="B34:K34" si="26">IF(B20=0,0,(B5-B20)^2/B20)</f>
        <v>3.8867296918767509</v>
      </c>
      <c r="C34" s="501">
        <f t="shared" si="26"/>
        <v>0.58918970814132088</v>
      </c>
      <c r="D34" s="501">
        <f t="shared" si="26"/>
        <v>0.21009324782544622</v>
      </c>
      <c r="E34" s="501">
        <f t="shared" si="26"/>
        <v>4.3600651799181218</v>
      </c>
      <c r="F34" s="501">
        <f t="shared" si="26"/>
        <v>0</v>
      </c>
      <c r="G34" s="501">
        <f t="shared" si="26"/>
        <v>0</v>
      </c>
      <c r="H34" s="501">
        <f t="shared" si="26"/>
        <v>0</v>
      </c>
      <c r="I34" s="501">
        <f t="shared" si="26"/>
        <v>0</v>
      </c>
      <c r="J34" s="501">
        <f t="shared" si="26"/>
        <v>0</v>
      </c>
      <c r="K34" s="501">
        <f t="shared" si="26"/>
        <v>0</v>
      </c>
      <c r="L34" s="505">
        <f t="shared" ref="L34:L43" si="27">SUM(B34:K34)</f>
        <v>9.0460778277616392</v>
      </c>
    </row>
    <row r="35" spans="1:12" hidden="1" x14ac:dyDescent="0.3">
      <c r="A35" s="504" t="s">
        <v>289</v>
      </c>
      <c r="B35" s="501">
        <f t="shared" ref="B35:K35" si="28">IF(B21=0,0,(B6-B21)^2/B21)</f>
        <v>3.2495608899297426</v>
      </c>
      <c r="C35" s="501">
        <f t="shared" si="28"/>
        <v>0.49260123139684264</v>
      </c>
      <c r="D35" s="501">
        <f t="shared" si="28"/>
        <v>0.17565173178848781</v>
      </c>
      <c r="E35" s="501">
        <f t="shared" si="28"/>
        <v>3.6453003963249868</v>
      </c>
      <c r="F35" s="501">
        <f t="shared" si="28"/>
        <v>0</v>
      </c>
      <c r="G35" s="501">
        <f t="shared" si="28"/>
        <v>0</v>
      </c>
      <c r="H35" s="501">
        <f t="shared" si="28"/>
        <v>0</v>
      </c>
      <c r="I35" s="501">
        <f t="shared" si="28"/>
        <v>0</v>
      </c>
      <c r="J35" s="501">
        <f t="shared" si="28"/>
        <v>0</v>
      </c>
      <c r="K35" s="501">
        <f t="shared" si="28"/>
        <v>0</v>
      </c>
      <c r="L35" s="503">
        <f t="shared" si="27"/>
        <v>7.5631142494400603</v>
      </c>
    </row>
    <row r="36" spans="1:12" hidden="1" x14ac:dyDescent="0.3">
      <c r="A36" s="504" t="s">
        <v>288</v>
      </c>
      <c r="B36" s="501">
        <f t="shared" ref="B36:K36" si="29">IF(B22=0,0,(B7-B22)^2/B22)</f>
        <v>0</v>
      </c>
      <c r="C36" s="501">
        <f t="shared" si="29"/>
        <v>0</v>
      </c>
      <c r="D36" s="501">
        <f t="shared" si="29"/>
        <v>0</v>
      </c>
      <c r="E36" s="501">
        <f t="shared" si="29"/>
        <v>0</v>
      </c>
      <c r="F36" s="501">
        <f t="shared" si="29"/>
        <v>0</v>
      </c>
      <c r="G36" s="501">
        <f t="shared" si="29"/>
        <v>0</v>
      </c>
      <c r="H36" s="501">
        <f t="shared" si="29"/>
        <v>0</v>
      </c>
      <c r="I36" s="501">
        <f t="shared" si="29"/>
        <v>0</v>
      </c>
      <c r="J36" s="501">
        <f t="shared" si="29"/>
        <v>0</v>
      </c>
      <c r="K36" s="501">
        <f t="shared" si="29"/>
        <v>0</v>
      </c>
      <c r="L36" s="503">
        <f t="shared" si="27"/>
        <v>0</v>
      </c>
    </row>
    <row r="37" spans="1:12" hidden="1" x14ac:dyDescent="0.3">
      <c r="A37" s="504" t="s">
        <v>287</v>
      </c>
      <c r="B37" s="501">
        <f t="shared" ref="B37:K37" si="30">IF(B23=0,0,(B8-B23)^2/B23)</f>
        <v>0</v>
      </c>
      <c r="C37" s="501">
        <f t="shared" si="30"/>
        <v>0</v>
      </c>
      <c r="D37" s="501">
        <f t="shared" si="30"/>
        <v>0</v>
      </c>
      <c r="E37" s="501">
        <f t="shared" si="30"/>
        <v>0</v>
      </c>
      <c r="F37" s="501">
        <f t="shared" si="30"/>
        <v>0</v>
      </c>
      <c r="G37" s="501">
        <f t="shared" si="30"/>
        <v>0</v>
      </c>
      <c r="H37" s="501">
        <f t="shared" si="30"/>
        <v>0</v>
      </c>
      <c r="I37" s="501">
        <f t="shared" si="30"/>
        <v>0</v>
      </c>
      <c r="J37" s="501">
        <f t="shared" si="30"/>
        <v>0</v>
      </c>
      <c r="K37" s="501">
        <f t="shared" si="30"/>
        <v>0</v>
      </c>
      <c r="L37" s="503">
        <f t="shared" si="27"/>
        <v>0</v>
      </c>
    </row>
    <row r="38" spans="1:12" hidden="1" x14ac:dyDescent="0.3">
      <c r="A38" s="504" t="s">
        <v>286</v>
      </c>
      <c r="B38" s="501">
        <f t="shared" ref="B38:K38" si="31">IF(B24=0,0,(B9-B24)^2/B24)</f>
        <v>0</v>
      </c>
      <c r="C38" s="501">
        <f t="shared" si="31"/>
        <v>0</v>
      </c>
      <c r="D38" s="501">
        <f t="shared" si="31"/>
        <v>0</v>
      </c>
      <c r="E38" s="501">
        <f t="shared" si="31"/>
        <v>0</v>
      </c>
      <c r="F38" s="501">
        <f t="shared" si="31"/>
        <v>0</v>
      </c>
      <c r="G38" s="501">
        <f t="shared" si="31"/>
        <v>0</v>
      </c>
      <c r="H38" s="501">
        <f t="shared" si="31"/>
        <v>0</v>
      </c>
      <c r="I38" s="501">
        <f t="shared" si="31"/>
        <v>0</v>
      </c>
      <c r="J38" s="501">
        <f t="shared" si="31"/>
        <v>0</v>
      </c>
      <c r="K38" s="501">
        <f t="shared" si="31"/>
        <v>0</v>
      </c>
      <c r="L38" s="503">
        <f t="shared" si="27"/>
        <v>0</v>
      </c>
    </row>
    <row r="39" spans="1:12" hidden="1" x14ac:dyDescent="0.3">
      <c r="A39" s="504" t="s">
        <v>285</v>
      </c>
      <c r="B39" s="501">
        <f t="shared" ref="B39:K39" si="32">IF(B25=0,0,(B10-B25)^2/B25)</f>
        <v>0</v>
      </c>
      <c r="C39" s="501">
        <f t="shared" si="32"/>
        <v>0</v>
      </c>
      <c r="D39" s="501">
        <f t="shared" si="32"/>
        <v>0</v>
      </c>
      <c r="E39" s="501">
        <f t="shared" si="32"/>
        <v>0</v>
      </c>
      <c r="F39" s="501">
        <f t="shared" si="32"/>
        <v>0</v>
      </c>
      <c r="G39" s="501">
        <f t="shared" si="32"/>
        <v>0</v>
      </c>
      <c r="H39" s="501">
        <f t="shared" si="32"/>
        <v>0</v>
      </c>
      <c r="I39" s="501">
        <f t="shared" si="32"/>
        <v>0</v>
      </c>
      <c r="J39" s="501">
        <f t="shared" si="32"/>
        <v>0</v>
      </c>
      <c r="K39" s="501">
        <f t="shared" si="32"/>
        <v>0</v>
      </c>
      <c r="L39" s="503">
        <f t="shared" si="27"/>
        <v>0</v>
      </c>
    </row>
    <row r="40" spans="1:12" hidden="1" x14ac:dyDescent="0.3">
      <c r="A40" s="504" t="s">
        <v>284</v>
      </c>
      <c r="B40" s="501">
        <f t="shared" ref="B40:K40" si="33">IF(B26=0,0,(B11-B26)^2/B26)</f>
        <v>0</v>
      </c>
      <c r="C40" s="501">
        <f t="shared" si="33"/>
        <v>0</v>
      </c>
      <c r="D40" s="501">
        <f t="shared" si="33"/>
        <v>0</v>
      </c>
      <c r="E40" s="501">
        <f t="shared" si="33"/>
        <v>0</v>
      </c>
      <c r="F40" s="501">
        <f t="shared" si="33"/>
        <v>0</v>
      </c>
      <c r="G40" s="501">
        <f t="shared" si="33"/>
        <v>0</v>
      </c>
      <c r="H40" s="501">
        <f t="shared" si="33"/>
        <v>0</v>
      </c>
      <c r="I40" s="501">
        <f t="shared" si="33"/>
        <v>0</v>
      </c>
      <c r="J40" s="501">
        <f t="shared" si="33"/>
        <v>0</v>
      </c>
      <c r="K40" s="501">
        <f t="shared" si="33"/>
        <v>0</v>
      </c>
      <c r="L40" s="503">
        <f t="shared" si="27"/>
        <v>0</v>
      </c>
    </row>
    <row r="41" spans="1:12" hidden="1" x14ac:dyDescent="0.3">
      <c r="A41" s="504" t="s">
        <v>283</v>
      </c>
      <c r="B41" s="501">
        <f t="shared" ref="B41:K41" si="34">IF(B27=0,0,(B12-B27)^2/B27)</f>
        <v>0</v>
      </c>
      <c r="C41" s="501">
        <f t="shared" si="34"/>
        <v>0</v>
      </c>
      <c r="D41" s="501">
        <f t="shared" si="34"/>
        <v>0</v>
      </c>
      <c r="E41" s="501">
        <f t="shared" si="34"/>
        <v>0</v>
      </c>
      <c r="F41" s="501">
        <f t="shared" si="34"/>
        <v>0</v>
      </c>
      <c r="G41" s="501">
        <f t="shared" si="34"/>
        <v>0</v>
      </c>
      <c r="H41" s="501">
        <f t="shared" si="34"/>
        <v>0</v>
      </c>
      <c r="I41" s="501">
        <f t="shared" si="34"/>
        <v>0</v>
      </c>
      <c r="J41" s="501">
        <f t="shared" si="34"/>
        <v>0</v>
      </c>
      <c r="K41" s="501">
        <f t="shared" si="34"/>
        <v>0</v>
      </c>
      <c r="L41" s="503">
        <f t="shared" si="27"/>
        <v>0</v>
      </c>
    </row>
    <row r="42" spans="1:12" hidden="1" x14ac:dyDescent="0.3">
      <c r="A42" s="504" t="s">
        <v>282</v>
      </c>
      <c r="B42" s="501">
        <f t="shared" ref="B42:K42" si="35">IF(B28=0,0,(B13-B28)^2/B28)</f>
        <v>0</v>
      </c>
      <c r="C42" s="501">
        <f t="shared" si="35"/>
        <v>0</v>
      </c>
      <c r="D42" s="501">
        <f t="shared" si="35"/>
        <v>0</v>
      </c>
      <c r="E42" s="501">
        <f t="shared" si="35"/>
        <v>0</v>
      </c>
      <c r="F42" s="501">
        <f t="shared" si="35"/>
        <v>0</v>
      </c>
      <c r="G42" s="501">
        <f t="shared" si="35"/>
        <v>0</v>
      </c>
      <c r="H42" s="501">
        <f t="shared" si="35"/>
        <v>0</v>
      </c>
      <c r="I42" s="501">
        <f t="shared" si="35"/>
        <v>0</v>
      </c>
      <c r="J42" s="501">
        <f t="shared" si="35"/>
        <v>0</v>
      </c>
      <c r="K42" s="501">
        <f t="shared" si="35"/>
        <v>0</v>
      </c>
      <c r="L42" s="503">
        <f t="shared" si="27"/>
        <v>0</v>
      </c>
    </row>
    <row r="43" spans="1:12" hidden="1" x14ac:dyDescent="0.3">
      <c r="A43" s="502" t="s">
        <v>281</v>
      </c>
      <c r="B43" s="501">
        <f t="shared" ref="B43:K43" si="36">IF(B29=0,0,(B14-B29)^2/B29)</f>
        <v>0</v>
      </c>
      <c r="C43" s="501">
        <f t="shared" si="36"/>
        <v>0</v>
      </c>
      <c r="D43" s="501">
        <f t="shared" si="36"/>
        <v>0</v>
      </c>
      <c r="E43" s="501">
        <f t="shared" si="36"/>
        <v>0</v>
      </c>
      <c r="F43" s="501">
        <f t="shared" si="36"/>
        <v>0</v>
      </c>
      <c r="G43" s="501">
        <f t="shared" si="36"/>
        <v>0</v>
      </c>
      <c r="H43" s="501">
        <f t="shared" si="36"/>
        <v>0</v>
      </c>
      <c r="I43" s="501">
        <f t="shared" si="36"/>
        <v>0</v>
      </c>
      <c r="J43" s="501">
        <f t="shared" si="36"/>
        <v>0</v>
      </c>
      <c r="K43" s="501">
        <f t="shared" si="36"/>
        <v>0</v>
      </c>
      <c r="L43" s="500">
        <f t="shared" si="27"/>
        <v>0</v>
      </c>
    </row>
    <row r="44" spans="1:12" ht="13.5" hidden="1" thickBot="1" x14ac:dyDescent="0.35">
      <c r="A44" s="499"/>
      <c r="B44" s="498">
        <f t="shared" ref="B44:L44" si="37">SUM(B34:B43)</f>
        <v>7.1362905818064934</v>
      </c>
      <c r="C44" s="497">
        <f t="shared" si="37"/>
        <v>1.0817909395381635</v>
      </c>
      <c r="D44" s="497">
        <f t="shared" si="37"/>
        <v>0.38574497961393406</v>
      </c>
      <c r="E44" s="497">
        <f t="shared" si="37"/>
        <v>8.0053655762431077</v>
      </c>
      <c r="F44" s="497">
        <f t="shared" si="37"/>
        <v>0</v>
      </c>
      <c r="G44" s="497">
        <f t="shared" si="37"/>
        <v>0</v>
      </c>
      <c r="H44" s="497">
        <f t="shared" si="37"/>
        <v>0</v>
      </c>
      <c r="I44" s="497">
        <f t="shared" si="37"/>
        <v>0</v>
      </c>
      <c r="J44" s="497">
        <f t="shared" si="37"/>
        <v>0</v>
      </c>
      <c r="K44" s="496">
        <f t="shared" si="37"/>
        <v>0</v>
      </c>
      <c r="L44" s="495">
        <f t="shared" si="37"/>
        <v>16.609192077201698</v>
      </c>
    </row>
    <row r="45" spans="1:12" hidden="1" x14ac:dyDescent="0.3"/>
  </sheetData>
  <sheetProtection password="DBEF" sheet="1" objects="1" scenarios="1"/>
  <mergeCells count="3">
    <mergeCell ref="N2:O2"/>
    <mergeCell ref="N3:O3"/>
    <mergeCell ref="N8:O8"/>
  </mergeCells>
  <conditionalFormatting sqref="N10">
    <cfRule type="cellIs" dxfId="1" priority="1" stopIfTrue="1" operator="equal">
      <formula>"""Závislost v tabulce je statisticky významná"""</formula>
    </cfRule>
    <cfRule type="cellIs" dxfId="0" priority="2" stopIfTrue="1" operator="equal">
      <formula>"""Závislost v tabulce je statisticky nevýznamná"""</formula>
    </cfRule>
  </conditionalFormatting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9"/>
  <sheetViews>
    <sheetView showGridLines="0" zoomScale="89" zoomScaleNormal="89" workbookViewId="0">
      <selection activeCell="L6" sqref="L6"/>
    </sheetView>
  </sheetViews>
  <sheetFormatPr defaultColWidth="10.54296875" defaultRowHeight="27" customHeight="1" x14ac:dyDescent="0.25"/>
  <cols>
    <col min="1" max="23" width="10.54296875" style="215"/>
    <col min="24" max="32" width="0" style="215" hidden="1" customWidth="1"/>
    <col min="33" max="16384" width="10.54296875" style="215"/>
  </cols>
  <sheetData>
    <row r="1" spans="1:35" ht="27" customHeight="1" x14ac:dyDescent="0.25">
      <c r="A1" s="460" t="s">
        <v>279</v>
      </c>
      <c r="B1" s="461"/>
      <c r="C1" s="461"/>
      <c r="D1" s="461"/>
      <c r="E1" s="461"/>
      <c r="F1" s="461"/>
      <c r="G1" s="461"/>
      <c r="H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</row>
    <row r="2" spans="1:35" ht="7.9" customHeight="1" x14ac:dyDescent="0.25">
      <c r="A2" s="460"/>
      <c r="B2" s="461"/>
      <c r="C2" s="461"/>
      <c r="D2" s="461"/>
      <c r="E2" s="461"/>
      <c r="F2" s="461"/>
      <c r="G2" s="461"/>
      <c r="H2" s="461"/>
      <c r="J2" s="462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461"/>
      <c r="AC2" s="461"/>
      <c r="AD2" s="461"/>
      <c r="AE2" s="461"/>
      <c r="AF2" s="461"/>
      <c r="AG2" s="461"/>
      <c r="AH2" s="461"/>
      <c r="AI2" s="461"/>
    </row>
    <row r="3" spans="1:35" ht="27" customHeight="1" x14ac:dyDescent="0.25">
      <c r="A3" s="463" t="s">
        <v>250</v>
      </c>
      <c r="B3" s="464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</row>
    <row r="4" spans="1:35" ht="27" customHeight="1" thickBot="1" x14ac:dyDescent="0.3">
      <c r="A4" s="465" t="s">
        <v>251</v>
      </c>
      <c r="B4" s="466"/>
      <c r="C4" s="466"/>
      <c r="D4" s="466"/>
      <c r="E4" s="466"/>
      <c r="F4" s="465" t="s">
        <v>253</v>
      </c>
      <c r="H4" s="466"/>
      <c r="I4" s="466"/>
      <c r="J4" s="466"/>
      <c r="K4" s="465" t="s">
        <v>254</v>
      </c>
      <c r="M4" s="466"/>
      <c r="N4" s="466"/>
      <c r="O4" s="466"/>
      <c r="P4" s="466"/>
      <c r="Q4" s="466"/>
      <c r="U4" s="466"/>
      <c r="V4" s="466"/>
      <c r="W4" s="466"/>
      <c r="X4" s="466"/>
      <c r="Y4" s="466"/>
      <c r="Z4" s="467" t="s">
        <v>99</v>
      </c>
      <c r="AA4" s="467"/>
      <c r="AB4" s="467"/>
      <c r="AC4" s="467"/>
      <c r="AD4" s="468"/>
      <c r="AE4" s="467" t="s">
        <v>100</v>
      </c>
      <c r="AF4" s="467"/>
      <c r="AG4" s="467"/>
      <c r="AH4" s="468"/>
      <c r="AI4" s="469"/>
    </row>
    <row r="5" spans="1:35" ht="27" customHeight="1" x14ac:dyDescent="0.25">
      <c r="A5" s="470" t="s">
        <v>164</v>
      </c>
      <c r="B5" s="471">
        <v>2</v>
      </c>
      <c r="C5" s="470" t="s">
        <v>165</v>
      </c>
      <c r="D5" s="472" t="s">
        <v>252</v>
      </c>
      <c r="F5" s="473" t="s">
        <v>0</v>
      </c>
      <c r="G5" s="471">
        <v>5</v>
      </c>
      <c r="H5" s="408" t="s">
        <v>165</v>
      </c>
      <c r="I5" s="410" t="s">
        <v>252</v>
      </c>
      <c r="J5" s="403"/>
      <c r="K5" s="470" t="s">
        <v>257</v>
      </c>
      <c r="L5" s="471">
        <v>100</v>
      </c>
      <c r="M5" s="408" t="s">
        <v>165</v>
      </c>
      <c r="N5" s="410" t="s">
        <v>252</v>
      </c>
      <c r="X5" s="216"/>
      <c r="Y5" s="214"/>
      <c r="Z5" s="214"/>
      <c r="AA5" s="214"/>
      <c r="AB5" s="214"/>
      <c r="AC5" s="214"/>
      <c r="AD5" s="214"/>
      <c r="AE5" s="214"/>
      <c r="AF5" s="214"/>
      <c r="AG5" s="214"/>
    </row>
    <row r="6" spans="1:35" ht="27" customHeight="1" thickBot="1" x14ac:dyDescent="0.3">
      <c r="A6" s="474" t="s">
        <v>1</v>
      </c>
      <c r="B6" s="475">
        <v>3</v>
      </c>
      <c r="C6" s="476">
        <f>_xlfn.POISSON.DIST(B6,B5,0)</f>
        <v>0.18044704431548364</v>
      </c>
      <c r="D6" s="477">
        <f>_xlfn.POISSON.DIST(B6,B5,1)</f>
        <v>0.85712346049854693</v>
      </c>
      <c r="F6" s="478" t="s">
        <v>255</v>
      </c>
      <c r="G6" s="479">
        <v>0.51</v>
      </c>
      <c r="H6" s="480">
        <f>_xlfn.BINOM.DIST(G7,G5,G6,0)</f>
        <v>0.31849505099999997</v>
      </c>
      <c r="I6" s="413">
        <f>_xlfn.BINOM.DIST(G7,G5,G6,1)</f>
        <v>0.79975005040000002</v>
      </c>
      <c r="J6" s="402"/>
      <c r="K6" s="481" t="s">
        <v>256</v>
      </c>
      <c r="L6" s="479">
        <v>4</v>
      </c>
      <c r="M6" s="480">
        <f>_xlfn.HYPGEOM.DIST(L8,L7,L6,L5,0)</f>
        <v>0.17649459033847825</v>
      </c>
      <c r="N6" s="419">
        <f>_xlfn.HYPGEOM.DIST(L8,L7,L6,L5,1)</f>
        <v>0.98836970589547912</v>
      </c>
      <c r="X6" s="211" t="s">
        <v>102</v>
      </c>
      <c r="Y6" s="218">
        <v>0.95</v>
      </c>
      <c r="Z6" s="213"/>
      <c r="AA6" s="213"/>
      <c r="AB6" s="213"/>
      <c r="AC6" s="211" t="s">
        <v>102</v>
      </c>
      <c r="AD6" s="218">
        <v>0.95</v>
      </c>
      <c r="AE6" s="214"/>
      <c r="AF6" s="214"/>
      <c r="AG6" s="214"/>
    </row>
    <row r="7" spans="1:35" ht="27" customHeight="1" thickBot="1" x14ac:dyDescent="0.3">
      <c r="F7" s="474" t="s">
        <v>1</v>
      </c>
      <c r="G7" s="475">
        <v>3</v>
      </c>
      <c r="H7" s="402"/>
      <c r="I7" s="402"/>
      <c r="K7" s="481" t="s">
        <v>0</v>
      </c>
      <c r="L7" s="479">
        <v>5</v>
      </c>
      <c r="M7" s="402"/>
      <c r="N7" s="222"/>
      <c r="O7" s="222"/>
      <c r="P7" s="222"/>
      <c r="X7" s="211" t="s">
        <v>103</v>
      </c>
      <c r="Y7" s="219">
        <f>NORMINV(Y6,0,1)</f>
        <v>1.6448536269514715</v>
      </c>
      <c r="Z7" s="214"/>
      <c r="AA7" s="214"/>
      <c r="AB7" s="214"/>
      <c r="AC7" s="217" t="s">
        <v>155</v>
      </c>
      <c r="AD7" s="218">
        <v>2</v>
      </c>
      <c r="AE7" s="214"/>
      <c r="AF7" s="214"/>
      <c r="AG7" s="214"/>
    </row>
    <row r="8" spans="1:35" ht="27" customHeight="1" thickBot="1" x14ac:dyDescent="0.3">
      <c r="K8" s="474" t="s">
        <v>1</v>
      </c>
      <c r="L8" s="475">
        <v>1</v>
      </c>
      <c r="M8" s="402"/>
      <c r="N8" s="402"/>
      <c r="X8" s="214"/>
      <c r="Y8" s="214"/>
      <c r="Z8" s="214"/>
      <c r="AA8" s="214"/>
      <c r="AB8" s="214"/>
      <c r="AC8" s="217" t="s">
        <v>156</v>
      </c>
      <c r="AD8" s="219">
        <f>CHIINV(1-AD6,AD7)</f>
        <v>5.9914645471079799</v>
      </c>
      <c r="AE8" s="214"/>
      <c r="AF8" s="214"/>
      <c r="AG8" s="214"/>
    </row>
    <row r="9" spans="1:35" ht="27" customHeight="1" x14ac:dyDescent="0.25">
      <c r="A9" s="463" t="s">
        <v>258</v>
      </c>
      <c r="B9" s="464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2"/>
      <c r="O9" s="482"/>
      <c r="P9" s="482"/>
      <c r="Q9" s="482"/>
      <c r="R9" s="482"/>
      <c r="S9" s="482"/>
      <c r="T9" s="482"/>
      <c r="U9" s="482"/>
      <c r="V9" s="482"/>
      <c r="W9" s="482"/>
      <c r="X9" s="482"/>
      <c r="Y9" s="213"/>
      <c r="Z9" s="213"/>
      <c r="AA9" s="213"/>
      <c r="AB9" s="213"/>
      <c r="AC9" s="213"/>
      <c r="AD9" s="213"/>
      <c r="AE9" s="213"/>
      <c r="AF9" s="213"/>
      <c r="AG9" s="213"/>
      <c r="AH9" s="213"/>
    </row>
    <row r="10" spans="1:35" ht="27" customHeight="1" thickBot="1" x14ac:dyDescent="0.3">
      <c r="A10" s="465" t="s">
        <v>259</v>
      </c>
      <c r="B10" s="482"/>
      <c r="C10" s="482"/>
      <c r="D10" s="482"/>
      <c r="E10" s="482"/>
      <c r="F10" s="465" t="s">
        <v>262</v>
      </c>
      <c r="G10" s="483"/>
      <c r="H10" s="482"/>
      <c r="I10" s="482"/>
      <c r="J10" s="482"/>
      <c r="K10" s="465" t="s">
        <v>265</v>
      </c>
      <c r="L10" s="484"/>
      <c r="M10" s="484"/>
      <c r="N10" s="484"/>
      <c r="O10" s="485"/>
      <c r="P10" s="465" t="s">
        <v>268</v>
      </c>
      <c r="Q10" s="486"/>
      <c r="R10" s="486"/>
      <c r="S10" s="486"/>
      <c r="T10" s="485"/>
      <c r="U10" s="485"/>
      <c r="V10" s="485"/>
      <c r="W10" s="485"/>
      <c r="X10" s="482"/>
      <c r="Y10" s="220" t="s">
        <v>154</v>
      </c>
      <c r="Z10" s="220"/>
      <c r="AA10" s="220"/>
      <c r="AB10" s="212"/>
      <c r="AC10" s="213"/>
      <c r="AD10" s="220" t="s">
        <v>101</v>
      </c>
      <c r="AE10" s="220"/>
      <c r="AF10" s="220"/>
      <c r="AG10" s="220"/>
      <c r="AH10" s="212"/>
    </row>
    <row r="11" spans="1:35" ht="27" customHeight="1" x14ac:dyDescent="0.25">
      <c r="A11" s="487" t="s">
        <v>123</v>
      </c>
      <c r="B11" s="471">
        <v>0</v>
      </c>
      <c r="C11" s="408" t="s">
        <v>261</v>
      </c>
      <c r="D11" s="410" t="s">
        <v>252</v>
      </c>
      <c r="E11" s="403"/>
      <c r="F11" s="487" t="s">
        <v>123</v>
      </c>
      <c r="G11" s="471">
        <v>0</v>
      </c>
      <c r="H11" s="408" t="s">
        <v>261</v>
      </c>
      <c r="I11" s="410" t="s">
        <v>252</v>
      </c>
      <c r="J11" s="403"/>
      <c r="K11" s="487" t="s">
        <v>266</v>
      </c>
      <c r="L11" s="471">
        <v>0</v>
      </c>
      <c r="M11" s="408" t="s">
        <v>261</v>
      </c>
      <c r="N11" s="410" t="s">
        <v>252</v>
      </c>
      <c r="O11" s="403"/>
      <c r="P11" s="487" t="s">
        <v>266</v>
      </c>
      <c r="Q11" s="471">
        <v>2</v>
      </c>
      <c r="R11" s="408" t="s">
        <v>261</v>
      </c>
      <c r="S11" s="410" t="s">
        <v>252</v>
      </c>
      <c r="T11" s="403"/>
      <c r="U11" s="421"/>
      <c r="V11" s="421"/>
      <c r="W11" s="421"/>
      <c r="X11" s="488" t="s">
        <v>102</v>
      </c>
      <c r="Y11" s="218">
        <v>0.97499999999999998</v>
      </c>
      <c r="Z11" s="214"/>
      <c r="AA11" s="214"/>
      <c r="AB11" s="214"/>
      <c r="AC11" s="211" t="s">
        <v>102</v>
      </c>
      <c r="AD11" s="218">
        <v>0.95</v>
      </c>
      <c r="AE11" s="214"/>
      <c r="AF11" s="214"/>
      <c r="AG11" s="214"/>
    </row>
    <row r="12" spans="1:35" ht="27" customHeight="1" thickBot="1" x14ac:dyDescent="0.3">
      <c r="A12" s="478" t="s">
        <v>260</v>
      </c>
      <c r="B12" s="479">
        <v>7</v>
      </c>
      <c r="C12" s="480">
        <f>IF(AND(B11&lt;B13,B13&lt;B12),1/(B12-B11),0)</f>
        <v>0.14285714285714285</v>
      </c>
      <c r="D12" s="413">
        <f>IF(AND(B11&lt;B13,B13&lt;B12),(B13-B11)/(B12-B11),IF(B13&lt;=B11,0,1))</f>
        <v>0.7142857142857143</v>
      </c>
      <c r="F12" s="478" t="s">
        <v>263</v>
      </c>
      <c r="G12" s="479">
        <v>5</v>
      </c>
      <c r="H12" s="480">
        <f>IF(G13&gt;G11,1/G12*EXP(-(G13-G11)/G12),0)</f>
        <v>0.13406400920712788</v>
      </c>
      <c r="I12" s="413">
        <f>IF(G13&gt;G11,1-EXP(-(G13-G11)/G12),0)</f>
        <v>0.32967995396436067</v>
      </c>
      <c r="J12" s="421"/>
      <c r="K12" s="478" t="s">
        <v>280</v>
      </c>
      <c r="L12" s="479">
        <v>1</v>
      </c>
      <c r="M12" s="480">
        <f>_xlfn.NORM.DIST(L13,L11,L12^0.5,0)</f>
        <v>0.24197072451914337</v>
      </c>
      <c r="N12" s="413">
        <f>_xlfn.NORM.DIST(L13,L11,L12^0.5,1)</f>
        <v>0.84134474606854304</v>
      </c>
      <c r="O12" s="421"/>
      <c r="P12" s="478" t="s">
        <v>280</v>
      </c>
      <c r="Q12" s="479">
        <v>0.49</v>
      </c>
      <c r="R12" s="480">
        <f>_xlfn.LOGNORM.DIST(Q13,Q11,Q12^0.5,0)</f>
        <v>9.7016037197103333E-2</v>
      </c>
      <c r="S12" s="413">
        <f>_xlfn.LOGNORM.DIST(Q13,Q11,Q12^0.5,1)</f>
        <v>0.19031873443869829</v>
      </c>
      <c r="T12" s="421"/>
      <c r="U12" s="421"/>
      <c r="V12" s="421"/>
      <c r="W12" s="421"/>
      <c r="X12" s="489" t="s">
        <v>155</v>
      </c>
      <c r="Y12" s="218">
        <v>30</v>
      </c>
      <c r="Z12" s="214"/>
      <c r="AA12" s="214"/>
      <c r="AB12" s="214"/>
      <c r="AC12" s="217" t="s">
        <v>158</v>
      </c>
      <c r="AD12" s="218">
        <v>15</v>
      </c>
      <c r="AE12" s="214"/>
      <c r="AF12" s="214"/>
      <c r="AG12" s="214"/>
    </row>
    <row r="13" spans="1:35" ht="27" customHeight="1" x14ac:dyDescent="0.25">
      <c r="A13" s="481" t="s">
        <v>1</v>
      </c>
      <c r="B13" s="479">
        <v>5</v>
      </c>
      <c r="C13" s="490" t="s">
        <v>264</v>
      </c>
      <c r="D13" s="491"/>
      <c r="F13" s="481" t="s">
        <v>1</v>
      </c>
      <c r="G13" s="479">
        <v>2</v>
      </c>
      <c r="H13" s="470" t="s">
        <v>264</v>
      </c>
      <c r="I13" s="491"/>
      <c r="J13" s="421"/>
      <c r="K13" s="481" t="s">
        <v>1</v>
      </c>
      <c r="L13" s="479">
        <v>1</v>
      </c>
      <c r="M13" s="470" t="s">
        <v>264</v>
      </c>
      <c r="N13" s="491"/>
      <c r="O13" s="421"/>
      <c r="P13" s="481" t="s">
        <v>1</v>
      </c>
      <c r="Q13" s="479">
        <v>4</v>
      </c>
      <c r="R13" s="470" t="s">
        <v>264</v>
      </c>
      <c r="S13" s="491"/>
      <c r="T13" s="421"/>
      <c r="U13" s="421"/>
      <c r="V13" s="421"/>
      <c r="W13" s="421"/>
      <c r="X13" s="488" t="s">
        <v>157</v>
      </c>
      <c r="Y13" s="219">
        <f>IF(Y11&gt;=0.5,TINV((1-Y11)*2,Y12),-TINV(Y11*2,Y12))</f>
        <v>2.0422724563012378</v>
      </c>
      <c r="Z13" s="214"/>
      <c r="AA13" s="214"/>
      <c r="AB13" s="214"/>
      <c r="AC13" s="217" t="s">
        <v>159</v>
      </c>
      <c r="AD13" s="218">
        <v>24</v>
      </c>
      <c r="AE13" s="214"/>
      <c r="AF13" s="214"/>
      <c r="AG13" s="214"/>
    </row>
    <row r="14" spans="1:35" ht="27" customHeight="1" thickBot="1" x14ac:dyDescent="0.3">
      <c r="A14" s="474" t="s">
        <v>69</v>
      </c>
      <c r="B14" s="475">
        <v>0.95</v>
      </c>
      <c r="C14" s="476">
        <f>B11+B14*(B12-B11)</f>
        <v>6.6499999999999995</v>
      </c>
      <c r="D14" s="491"/>
      <c r="F14" s="474" t="s">
        <v>69</v>
      </c>
      <c r="G14" s="475">
        <v>0.95</v>
      </c>
      <c r="H14" s="476">
        <f>G11-G12*LN(1-G14)</f>
        <v>14.97866136776995</v>
      </c>
      <c r="I14" s="491"/>
      <c r="J14" s="421"/>
      <c r="K14" s="474" t="s">
        <v>69</v>
      </c>
      <c r="L14" s="475">
        <v>0.68269999999999997</v>
      </c>
      <c r="M14" s="476">
        <f>_xlfn.NORM.INV(L14,L11,L12^0.5)</f>
        <v>0.47526233751529862</v>
      </c>
      <c r="N14" s="491"/>
      <c r="O14" s="421"/>
      <c r="P14" s="474" t="s">
        <v>69</v>
      </c>
      <c r="Q14" s="475">
        <v>0.3</v>
      </c>
      <c r="R14" s="476">
        <f>_xlfn.LOGNORM.INV(Q14,Q11,Q12^0.5)</f>
        <v>5.1187979756330781</v>
      </c>
      <c r="S14" s="491"/>
      <c r="T14" s="421"/>
      <c r="U14" s="421"/>
      <c r="V14" s="421"/>
      <c r="W14" s="421"/>
      <c r="X14" s="214"/>
      <c r="Y14" s="214"/>
      <c r="Z14" s="214"/>
      <c r="AA14" s="214"/>
      <c r="AB14" s="214"/>
      <c r="AC14" s="217" t="s">
        <v>160</v>
      </c>
      <c r="AD14" s="219">
        <f>FINV(1-AD11,AD12,AD13)</f>
        <v>2.107673404032119</v>
      </c>
      <c r="AE14" s="214"/>
      <c r="AF14" s="214"/>
      <c r="AG14" s="214"/>
    </row>
    <row r="15" spans="1:35" ht="27" customHeight="1" x14ac:dyDescent="0.25">
      <c r="A15" s="403"/>
      <c r="B15" s="422"/>
      <c r="C15" s="421"/>
      <c r="D15" s="421"/>
      <c r="G15" s="403"/>
      <c r="H15" s="422"/>
      <c r="I15" s="421"/>
      <c r="J15" s="421"/>
      <c r="L15" s="403"/>
      <c r="M15" s="422"/>
      <c r="N15" s="421"/>
      <c r="O15" s="421"/>
      <c r="Q15" s="403"/>
      <c r="R15" s="422"/>
      <c r="S15" s="421"/>
      <c r="T15" s="421"/>
      <c r="U15" s="421"/>
      <c r="V15" s="421"/>
      <c r="W15" s="421"/>
      <c r="X15" s="214"/>
      <c r="Y15" s="214"/>
      <c r="Z15" s="214"/>
      <c r="AA15" s="214"/>
      <c r="AB15" s="214"/>
      <c r="AC15" s="222"/>
      <c r="AD15" s="223"/>
      <c r="AE15" s="214"/>
      <c r="AF15" s="214"/>
      <c r="AG15" s="214"/>
    </row>
    <row r="16" spans="1:35" ht="27" customHeight="1" thickBot="1" x14ac:dyDescent="0.3">
      <c r="A16" s="465" t="s">
        <v>100</v>
      </c>
      <c r="B16" s="492"/>
      <c r="C16" s="492"/>
      <c r="D16" s="492"/>
      <c r="E16" s="492"/>
      <c r="F16" s="465" t="s">
        <v>154</v>
      </c>
      <c r="G16" s="492"/>
      <c r="H16" s="492"/>
      <c r="I16" s="492"/>
      <c r="J16" s="492"/>
      <c r="K16" s="465" t="s">
        <v>101</v>
      </c>
      <c r="L16" s="220"/>
      <c r="M16" s="220"/>
      <c r="Q16" s="421"/>
      <c r="R16" s="421"/>
      <c r="S16" s="421"/>
      <c r="T16" s="421"/>
      <c r="U16" s="421"/>
      <c r="V16" s="421"/>
      <c r="W16" s="421"/>
      <c r="X16" s="220" t="s">
        <v>161</v>
      </c>
      <c r="Y16" s="220"/>
      <c r="Z16" s="220"/>
      <c r="AA16" s="214"/>
      <c r="AB16" s="214"/>
      <c r="AC16" s="220" t="s">
        <v>163</v>
      </c>
      <c r="AD16" s="214"/>
      <c r="AE16" s="214"/>
      <c r="AF16" s="214"/>
      <c r="AG16" s="214"/>
    </row>
    <row r="17" spans="1:13" ht="27" customHeight="1" x14ac:dyDescent="0.25">
      <c r="A17" s="487" t="s">
        <v>125</v>
      </c>
      <c r="B17" s="471">
        <v>12</v>
      </c>
      <c r="C17" s="470" t="s">
        <v>264</v>
      </c>
      <c r="D17" s="403"/>
      <c r="E17" s="403"/>
      <c r="F17" s="487" t="s">
        <v>125</v>
      </c>
      <c r="G17" s="471">
        <v>100</v>
      </c>
      <c r="H17" s="470" t="s">
        <v>264</v>
      </c>
      <c r="I17" s="492"/>
      <c r="J17" s="492"/>
      <c r="K17" s="487" t="s">
        <v>269</v>
      </c>
      <c r="L17" s="471">
        <v>6</v>
      </c>
      <c r="M17" s="470" t="s">
        <v>264</v>
      </c>
    </row>
    <row r="18" spans="1:13" ht="27" customHeight="1" thickBot="1" x14ac:dyDescent="0.3">
      <c r="A18" s="474" t="s">
        <v>69</v>
      </c>
      <c r="B18" s="475">
        <v>0.95</v>
      </c>
      <c r="C18" s="476">
        <f>_xlfn.CHISQ.INV(B18,B17)</f>
        <v>21.026069817483062</v>
      </c>
      <c r="D18" s="222"/>
      <c r="E18" s="222"/>
      <c r="F18" s="474" t="s">
        <v>69</v>
      </c>
      <c r="G18" s="475">
        <v>0.97</v>
      </c>
      <c r="H18" s="476">
        <f>_xlfn.T.INV(G18,G17)</f>
        <v>1.9023697037899543</v>
      </c>
      <c r="I18" s="492"/>
      <c r="J18" s="492"/>
      <c r="K18" s="478" t="s">
        <v>270</v>
      </c>
      <c r="L18" s="479">
        <v>16</v>
      </c>
      <c r="M18" s="476">
        <f>_xlfn.F.INV(L19,L17,L18)</f>
        <v>2.7413108283387762</v>
      </c>
    </row>
    <row r="19" spans="1:13" ht="27" customHeight="1" thickBot="1" x14ac:dyDescent="0.3">
      <c r="A19" s="492"/>
      <c r="B19" s="492"/>
      <c r="C19" s="422"/>
      <c r="D19" s="222"/>
      <c r="E19" s="492"/>
      <c r="F19" s="222"/>
      <c r="G19" s="492"/>
      <c r="H19" s="492"/>
      <c r="I19" s="492"/>
      <c r="J19" s="492"/>
      <c r="K19" s="474" t="s">
        <v>69</v>
      </c>
      <c r="L19" s="475">
        <v>0.95</v>
      </c>
      <c r="M19" s="491"/>
    </row>
  </sheetData>
  <sheetProtection password="DBEF" sheet="1" objects="1" scenarios="1" formatCells="0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K19"/>
  <sheetViews>
    <sheetView showGridLines="0" workbookViewId="0">
      <selection activeCell="K3" sqref="K3"/>
    </sheetView>
  </sheetViews>
  <sheetFormatPr defaultColWidth="10.7265625" defaultRowHeight="21.4" customHeight="1" x14ac:dyDescent="0.25"/>
  <cols>
    <col min="1" max="16384" width="10.7265625" style="215"/>
  </cols>
  <sheetData>
    <row r="1" spans="1:11" ht="21.4" customHeight="1" x14ac:dyDescent="0.25">
      <c r="A1" s="220" t="s">
        <v>99</v>
      </c>
      <c r="B1" s="220"/>
      <c r="C1" s="220"/>
      <c r="D1" s="220"/>
      <c r="E1" s="212"/>
      <c r="F1" s="220" t="s">
        <v>100</v>
      </c>
      <c r="G1" s="220"/>
      <c r="H1" s="220"/>
      <c r="I1" s="212"/>
      <c r="J1" s="213"/>
      <c r="K1" s="214"/>
    </row>
    <row r="2" spans="1:11" ht="10.5" customHeight="1" x14ac:dyDescent="0.25">
      <c r="A2" s="216"/>
      <c r="B2" s="214"/>
      <c r="C2" s="214"/>
      <c r="D2" s="214"/>
      <c r="E2" s="214"/>
      <c r="F2" s="214"/>
      <c r="G2" s="214"/>
      <c r="H2" s="214"/>
      <c r="I2" s="214"/>
      <c r="J2" s="214"/>
      <c r="K2" s="214"/>
    </row>
    <row r="3" spans="1:11" ht="21.4" customHeight="1" x14ac:dyDescent="0.25">
      <c r="A3" s="211" t="s">
        <v>102</v>
      </c>
      <c r="B3" s="218">
        <v>0.97499999999999998</v>
      </c>
      <c r="C3" s="213"/>
      <c r="D3" s="213"/>
      <c r="E3" s="213"/>
      <c r="F3" s="211" t="s">
        <v>102</v>
      </c>
      <c r="G3" s="218">
        <v>0.95</v>
      </c>
      <c r="H3" s="214"/>
      <c r="I3" s="214"/>
      <c r="J3" s="214"/>
      <c r="K3" s="214"/>
    </row>
    <row r="4" spans="1:11" ht="21.4" customHeight="1" x14ac:dyDescent="0.25">
      <c r="A4" s="211" t="s">
        <v>103</v>
      </c>
      <c r="B4" s="219">
        <f>NORMINV(B3,0,1)</f>
        <v>1.9599639845400536</v>
      </c>
      <c r="C4" s="214"/>
      <c r="D4" s="214"/>
      <c r="E4" s="214"/>
      <c r="F4" s="217" t="s">
        <v>155</v>
      </c>
      <c r="G4" s="218">
        <v>2</v>
      </c>
      <c r="H4" s="214"/>
      <c r="I4" s="214"/>
      <c r="J4" s="214"/>
      <c r="K4" s="214"/>
    </row>
    <row r="5" spans="1:11" ht="21.4" customHeight="1" x14ac:dyDescent="0.25">
      <c r="A5" s="214"/>
      <c r="B5" s="214"/>
      <c r="C5" s="214"/>
      <c r="D5" s="214"/>
      <c r="E5" s="214"/>
      <c r="F5" s="217" t="s">
        <v>156</v>
      </c>
      <c r="G5" s="219">
        <f>CHIINV(1-G3,G4)</f>
        <v>5.9914645471079799</v>
      </c>
      <c r="H5" s="214"/>
      <c r="I5" s="214"/>
      <c r="J5" s="214"/>
      <c r="K5" s="214"/>
    </row>
    <row r="6" spans="1:11" ht="21.4" customHeight="1" x14ac:dyDescent="0.25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</row>
    <row r="7" spans="1:11" ht="21.4" customHeight="1" x14ac:dyDescent="0.25">
      <c r="A7" s="220" t="s">
        <v>154</v>
      </c>
      <c r="B7" s="220"/>
      <c r="C7" s="220"/>
      <c r="D7" s="212"/>
      <c r="E7" s="214"/>
      <c r="F7" s="220" t="s">
        <v>101</v>
      </c>
      <c r="G7" s="220"/>
      <c r="H7" s="220"/>
      <c r="I7" s="220"/>
      <c r="J7" s="212"/>
      <c r="K7" s="214"/>
    </row>
    <row r="8" spans="1:11" ht="10.5" customHeight="1" x14ac:dyDescent="0.25">
      <c r="A8" s="214"/>
      <c r="B8" s="214"/>
      <c r="C8" s="214"/>
      <c r="D8" s="214"/>
      <c r="E8" s="214"/>
      <c r="F8" s="214"/>
      <c r="G8" s="214"/>
      <c r="H8" s="214"/>
      <c r="I8" s="214"/>
      <c r="J8" s="214"/>
      <c r="K8" s="214"/>
    </row>
    <row r="9" spans="1:11" ht="21.4" customHeight="1" x14ac:dyDescent="0.25">
      <c r="A9" s="211" t="s">
        <v>102</v>
      </c>
      <c r="B9" s="218">
        <v>0.95</v>
      </c>
      <c r="C9" s="214"/>
      <c r="D9" s="214"/>
      <c r="E9" s="214"/>
      <c r="F9" s="211" t="s">
        <v>102</v>
      </c>
      <c r="G9" s="218">
        <v>0.95</v>
      </c>
      <c r="H9" s="214"/>
      <c r="I9" s="214"/>
      <c r="J9" s="214"/>
      <c r="K9" s="214"/>
    </row>
    <row r="10" spans="1:11" ht="21.4" customHeight="1" x14ac:dyDescent="0.25">
      <c r="A10" s="217" t="s">
        <v>155</v>
      </c>
      <c r="B10" s="218">
        <v>59</v>
      </c>
      <c r="C10" s="214"/>
      <c r="D10" s="214"/>
      <c r="E10" s="214"/>
      <c r="F10" s="217" t="s">
        <v>158</v>
      </c>
      <c r="G10" s="218">
        <v>15</v>
      </c>
      <c r="H10" s="214"/>
      <c r="I10" s="214"/>
      <c r="J10" s="214"/>
      <c r="K10" s="214"/>
    </row>
    <row r="11" spans="1:11" ht="21.4" customHeight="1" x14ac:dyDescent="0.25">
      <c r="A11" s="211" t="s">
        <v>157</v>
      </c>
      <c r="B11" s="219">
        <f>IF(B9&gt;=0.5,TINV((1-B9)*2,B10),-TINV(B9*2,B10))</f>
        <v>1.6710930321038919</v>
      </c>
      <c r="C11" s="214"/>
      <c r="D11" s="214"/>
      <c r="E11" s="214"/>
      <c r="F11" s="217" t="s">
        <v>159</v>
      </c>
      <c r="G11" s="218">
        <v>24</v>
      </c>
      <c r="H11" s="214"/>
      <c r="I11" s="214"/>
      <c r="J11" s="214"/>
      <c r="K11" s="214"/>
    </row>
    <row r="12" spans="1:11" ht="21.4" customHeight="1" x14ac:dyDescent="0.25">
      <c r="A12" s="214"/>
      <c r="B12" s="214"/>
      <c r="C12" s="214"/>
      <c r="D12" s="214"/>
      <c r="E12" s="214"/>
      <c r="F12" s="217" t="s">
        <v>160</v>
      </c>
      <c r="G12" s="219">
        <f>FINV(1-G9,G10,G11)</f>
        <v>2.107673404032119</v>
      </c>
      <c r="H12" s="214"/>
      <c r="I12" s="214"/>
      <c r="J12" s="214"/>
      <c r="K12" s="214"/>
    </row>
    <row r="13" spans="1:11" ht="21.4" customHeight="1" x14ac:dyDescent="0.25">
      <c r="A13" s="214"/>
      <c r="B13" s="214"/>
      <c r="C13" s="214"/>
      <c r="D13" s="214"/>
      <c r="E13" s="214"/>
      <c r="F13" s="222"/>
      <c r="G13" s="223"/>
      <c r="H13" s="214"/>
      <c r="I13" s="214"/>
      <c r="J13" s="214"/>
      <c r="K13" s="214"/>
    </row>
    <row r="14" spans="1:11" ht="21.4" customHeight="1" x14ac:dyDescent="0.25">
      <c r="A14" s="220" t="s">
        <v>161</v>
      </c>
      <c r="B14" s="220"/>
      <c r="C14" s="220"/>
      <c r="D14" s="214"/>
      <c r="E14" s="214"/>
      <c r="F14" s="220" t="s">
        <v>163</v>
      </c>
      <c r="G14" s="214"/>
      <c r="H14" s="214"/>
      <c r="I14" s="214"/>
      <c r="J14" s="214"/>
      <c r="K14" s="214"/>
    </row>
    <row r="15" spans="1:11" ht="10.5" customHeight="1" x14ac:dyDescent="0.25"/>
    <row r="16" spans="1:11" ht="21.4" customHeight="1" x14ac:dyDescent="0.25">
      <c r="A16" s="211" t="s">
        <v>74</v>
      </c>
      <c r="B16" s="218">
        <v>1.38</v>
      </c>
      <c r="F16" s="211" t="s">
        <v>1</v>
      </c>
      <c r="G16" s="218">
        <v>11</v>
      </c>
    </row>
    <row r="17" spans="1:7" ht="21.4" customHeight="1" x14ac:dyDescent="0.25">
      <c r="A17" s="217" t="s">
        <v>162</v>
      </c>
      <c r="B17" s="221">
        <f>NORMSDIST(B16)</f>
        <v>0.91620667758498575</v>
      </c>
      <c r="F17" s="217" t="s">
        <v>164</v>
      </c>
      <c r="G17" s="218">
        <v>8</v>
      </c>
    </row>
    <row r="18" spans="1:7" ht="21.4" customHeight="1" x14ac:dyDescent="0.25">
      <c r="F18" s="217" t="s">
        <v>165</v>
      </c>
      <c r="G18" s="221">
        <f>EXP(-G17)*G17^G16/FACT(G16)</f>
        <v>7.2190206422934985E-2</v>
      </c>
    </row>
    <row r="19" spans="1:7" ht="21.4" customHeight="1" x14ac:dyDescent="0.25">
      <c r="A19" s="220"/>
    </row>
  </sheetData>
  <sheetProtection password="DBEF" sheet="1" objects="1" scenarios="1" formatCells="0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AF21"/>
  <sheetViews>
    <sheetView showGridLines="0" workbookViewId="0">
      <selection activeCell="K3" sqref="K3"/>
    </sheetView>
  </sheetViews>
  <sheetFormatPr defaultColWidth="10.7265625" defaultRowHeight="21.25" customHeight="1" x14ac:dyDescent="0.25"/>
  <cols>
    <col min="1" max="22" width="10.7265625" style="215"/>
    <col min="23" max="31" width="0" style="215" hidden="1" customWidth="1"/>
    <col min="32" max="16384" width="10.7265625" style="215"/>
  </cols>
  <sheetData>
    <row r="1" spans="1:32" ht="21.25" customHeight="1" x14ac:dyDescent="0.25">
      <c r="A1" s="401" t="s">
        <v>250</v>
      </c>
    </row>
    <row r="2" spans="1:32" ht="21.25" customHeight="1" x14ac:dyDescent="0.25">
      <c r="A2" s="220" t="s">
        <v>251</v>
      </c>
      <c r="E2" s="220" t="s">
        <v>253</v>
      </c>
      <c r="I2" s="402"/>
      <c r="J2" s="220" t="s">
        <v>254</v>
      </c>
      <c r="W2" s="220" t="s">
        <v>99</v>
      </c>
      <c r="X2" s="220"/>
      <c r="Y2" s="220"/>
      <c r="Z2" s="220"/>
      <c r="AA2" s="212"/>
      <c r="AB2" s="220" t="s">
        <v>100</v>
      </c>
      <c r="AC2" s="220"/>
      <c r="AD2" s="220"/>
      <c r="AE2" s="212"/>
      <c r="AF2" s="213"/>
    </row>
    <row r="3" spans="1:32" ht="5.5" customHeight="1" thickBot="1" x14ac:dyDescent="0.3">
      <c r="A3" s="220"/>
      <c r="E3" s="220"/>
      <c r="I3" s="402"/>
      <c r="J3" s="220"/>
      <c r="W3" s="220"/>
      <c r="X3" s="220"/>
      <c r="Y3" s="220"/>
      <c r="Z3" s="220"/>
      <c r="AA3" s="212"/>
      <c r="AB3" s="220"/>
      <c r="AC3" s="220"/>
      <c r="AD3" s="220"/>
      <c r="AE3" s="212"/>
      <c r="AF3" s="213"/>
    </row>
    <row r="4" spans="1:32" ht="21.25" customHeight="1" thickBot="1" x14ac:dyDescent="0.3">
      <c r="A4" s="415" t="s">
        <v>164</v>
      </c>
      <c r="B4" s="416">
        <v>8</v>
      </c>
      <c r="E4" s="417" t="s">
        <v>0</v>
      </c>
      <c r="F4" s="405">
        <v>8</v>
      </c>
      <c r="G4" s="406" t="s">
        <v>255</v>
      </c>
      <c r="H4" s="407">
        <v>0.8</v>
      </c>
      <c r="I4" s="403"/>
      <c r="J4" s="414" t="s">
        <v>256</v>
      </c>
      <c r="K4" s="405">
        <v>3</v>
      </c>
      <c r="L4" s="418" t="s">
        <v>257</v>
      </c>
      <c r="M4" s="405">
        <v>20</v>
      </c>
      <c r="N4" s="418" t="s">
        <v>0</v>
      </c>
      <c r="O4" s="407">
        <v>5</v>
      </c>
      <c r="W4" s="216"/>
      <c r="X4" s="214"/>
      <c r="Y4" s="214"/>
      <c r="Z4" s="214"/>
      <c r="AA4" s="214"/>
      <c r="AB4" s="214"/>
      <c r="AC4" s="214"/>
      <c r="AD4" s="214"/>
      <c r="AE4" s="214"/>
      <c r="AF4" s="214"/>
    </row>
    <row r="5" spans="1:32" ht="21.25" customHeight="1" x14ac:dyDescent="0.25">
      <c r="A5" s="408" t="s">
        <v>1</v>
      </c>
      <c r="B5" s="409" t="s">
        <v>165</v>
      </c>
      <c r="C5" s="410" t="s">
        <v>252</v>
      </c>
      <c r="E5" s="408" t="s">
        <v>1</v>
      </c>
      <c r="F5" s="409" t="s">
        <v>165</v>
      </c>
      <c r="G5" s="410" t="s">
        <v>252</v>
      </c>
      <c r="I5" s="402"/>
      <c r="J5" s="408" t="s">
        <v>1</v>
      </c>
      <c r="K5" s="409" t="s">
        <v>165</v>
      </c>
      <c r="L5" s="410" t="s">
        <v>252</v>
      </c>
      <c r="M5" s="222"/>
      <c r="N5" s="222"/>
      <c r="O5" s="222"/>
      <c r="W5" s="211" t="s">
        <v>102</v>
      </c>
      <c r="X5" s="218">
        <v>0.95</v>
      </c>
      <c r="Y5" s="213"/>
      <c r="Z5" s="213"/>
      <c r="AA5" s="213"/>
      <c r="AB5" s="211" t="s">
        <v>102</v>
      </c>
      <c r="AC5" s="218">
        <v>0.95</v>
      </c>
      <c r="AD5" s="214"/>
      <c r="AE5" s="214"/>
      <c r="AF5" s="214"/>
    </row>
    <row r="6" spans="1:32" ht="21.25" customHeight="1" thickBot="1" x14ac:dyDescent="0.3">
      <c r="A6" s="411">
        <v>11</v>
      </c>
      <c r="B6" s="412">
        <f>POISSON(A6,B4,0)</f>
        <v>7.2190206422934985E-2</v>
      </c>
      <c r="C6" s="413">
        <f>POISSON(A6,B4,1)</f>
        <v>0.88807599898148137</v>
      </c>
      <c r="E6" s="411">
        <v>7</v>
      </c>
      <c r="F6" s="412">
        <f>BINOMDIST(E6,F4,H4,0)</f>
        <v>0.33554432000000006</v>
      </c>
      <c r="G6" s="413">
        <f>BINOMDIST(E6,F4,H4,1)</f>
        <v>0.83222783999999994</v>
      </c>
      <c r="J6" s="411">
        <v>2</v>
      </c>
      <c r="K6" s="412">
        <f>HYPGEOMDIST(J6,O4,K4,M4)</f>
        <v>0.1315789473684211</v>
      </c>
      <c r="L6" s="419">
        <f>_xlfn.HYPGEOM.DIST(J6,O4,K4,M4,1)</f>
        <v>0.99122807017543857</v>
      </c>
      <c r="W6" s="211" t="s">
        <v>103</v>
      </c>
      <c r="X6" s="219">
        <f>NORMINV(X5,0,1)</f>
        <v>1.6448536269514715</v>
      </c>
      <c r="Y6" s="214"/>
      <c r="Z6" s="214"/>
      <c r="AA6" s="214"/>
      <c r="AB6" s="217" t="s">
        <v>155</v>
      </c>
      <c r="AC6" s="218">
        <v>2</v>
      </c>
      <c r="AD6" s="214"/>
      <c r="AE6" s="214"/>
      <c r="AF6" s="214"/>
    </row>
    <row r="7" spans="1:32" ht="21.25" customHeight="1" x14ac:dyDescent="0.25">
      <c r="K7" s="401"/>
      <c r="W7" s="214"/>
      <c r="X7" s="214"/>
      <c r="Y7" s="214"/>
      <c r="Z7" s="214"/>
      <c r="AA7" s="214"/>
      <c r="AB7" s="217" t="s">
        <v>156</v>
      </c>
      <c r="AC7" s="219">
        <f>CHIINV(1-AC5,AC6)</f>
        <v>5.9914645471079799</v>
      </c>
      <c r="AD7" s="214"/>
      <c r="AE7" s="214"/>
      <c r="AF7" s="214"/>
    </row>
    <row r="8" spans="1:32" ht="21.25" customHeight="1" x14ac:dyDescent="0.25">
      <c r="A8" s="401" t="s">
        <v>258</v>
      </c>
      <c r="W8" s="214"/>
      <c r="X8" s="214"/>
      <c r="Y8" s="214"/>
      <c r="Z8" s="214"/>
      <c r="AA8" s="214"/>
      <c r="AB8" s="214"/>
      <c r="AC8" s="214"/>
      <c r="AD8" s="214"/>
      <c r="AE8" s="214"/>
      <c r="AF8" s="214"/>
    </row>
    <row r="9" spans="1:32" ht="21.25" customHeight="1" x14ac:dyDescent="0.25">
      <c r="A9" s="220" t="s">
        <v>259</v>
      </c>
      <c r="E9" s="401"/>
      <c r="F9" s="220" t="s">
        <v>262</v>
      </c>
      <c r="K9" s="220" t="s">
        <v>265</v>
      </c>
      <c r="P9" s="220" t="s">
        <v>268</v>
      </c>
      <c r="W9" s="220" t="s">
        <v>154</v>
      </c>
      <c r="X9" s="220"/>
      <c r="Y9" s="220"/>
      <c r="Z9" s="212"/>
      <c r="AA9" s="214"/>
      <c r="AB9" s="220" t="s">
        <v>101</v>
      </c>
      <c r="AC9" s="220"/>
      <c r="AD9" s="220"/>
      <c r="AE9" s="220"/>
      <c r="AF9" s="212"/>
    </row>
    <row r="10" spans="1:32" ht="5.5" customHeight="1" thickBot="1" x14ac:dyDescent="0.3">
      <c r="A10" s="220"/>
      <c r="E10" s="220"/>
      <c r="I10" s="402"/>
      <c r="J10" s="220"/>
      <c r="W10" s="220"/>
      <c r="X10" s="220"/>
      <c r="Y10" s="220"/>
      <c r="Z10" s="220"/>
      <c r="AA10" s="212"/>
      <c r="AB10" s="220"/>
      <c r="AC10" s="220"/>
      <c r="AD10" s="220"/>
      <c r="AE10" s="212"/>
      <c r="AF10" s="213"/>
    </row>
    <row r="11" spans="1:32" ht="21.25" customHeight="1" thickBot="1" x14ac:dyDescent="0.3">
      <c r="A11" s="404" t="s">
        <v>123</v>
      </c>
      <c r="B11" s="405">
        <v>0</v>
      </c>
      <c r="C11" s="406" t="s">
        <v>260</v>
      </c>
      <c r="D11" s="407">
        <v>10</v>
      </c>
      <c r="F11" s="404" t="s">
        <v>123</v>
      </c>
      <c r="G11" s="405">
        <v>0</v>
      </c>
      <c r="H11" s="406" t="s">
        <v>263</v>
      </c>
      <c r="I11" s="407">
        <v>1</v>
      </c>
      <c r="K11" s="404" t="s">
        <v>266</v>
      </c>
      <c r="L11" s="405">
        <v>0</v>
      </c>
      <c r="M11" s="406" t="s">
        <v>267</v>
      </c>
      <c r="N11" s="407">
        <v>1</v>
      </c>
      <c r="P11" s="404" t="s">
        <v>266</v>
      </c>
      <c r="Q11" s="405">
        <v>1.6</v>
      </c>
      <c r="R11" s="406" t="s">
        <v>267</v>
      </c>
      <c r="S11" s="407">
        <v>0.16</v>
      </c>
      <c r="W11" s="211" t="s">
        <v>102</v>
      </c>
      <c r="X11" s="218">
        <v>0.97499999999999998</v>
      </c>
      <c r="Y11" s="214"/>
      <c r="Z11" s="214"/>
      <c r="AA11" s="214"/>
      <c r="AB11" s="211" t="s">
        <v>102</v>
      </c>
      <c r="AC11" s="218">
        <v>0.95</v>
      </c>
      <c r="AD11" s="214"/>
      <c r="AE11" s="214"/>
      <c r="AF11" s="214"/>
    </row>
    <row r="12" spans="1:32" ht="21.25" customHeight="1" x14ac:dyDescent="0.25">
      <c r="A12" s="408" t="s">
        <v>1</v>
      </c>
      <c r="B12" s="409" t="s">
        <v>261</v>
      </c>
      <c r="C12" s="410" t="s">
        <v>252</v>
      </c>
      <c r="F12" s="408" t="s">
        <v>1</v>
      </c>
      <c r="G12" s="409" t="s">
        <v>261</v>
      </c>
      <c r="H12" s="410" t="s">
        <v>252</v>
      </c>
      <c r="K12" s="408" t="s">
        <v>1</v>
      </c>
      <c r="L12" s="409" t="s">
        <v>261</v>
      </c>
      <c r="M12" s="410" t="s">
        <v>252</v>
      </c>
      <c r="P12" s="408" t="s">
        <v>1</v>
      </c>
      <c r="Q12" s="409" t="s">
        <v>261</v>
      </c>
      <c r="R12" s="410" t="s">
        <v>252</v>
      </c>
      <c r="W12" s="217" t="s">
        <v>155</v>
      </c>
      <c r="X12" s="218">
        <v>30</v>
      </c>
      <c r="Y12" s="214"/>
      <c r="Z12" s="214"/>
      <c r="AA12" s="214"/>
      <c r="AB12" s="217" t="s">
        <v>158</v>
      </c>
      <c r="AC12" s="218">
        <v>15</v>
      </c>
      <c r="AD12" s="214"/>
      <c r="AE12" s="214"/>
      <c r="AF12" s="214"/>
    </row>
    <row r="13" spans="1:32" ht="21.25" customHeight="1" thickBot="1" x14ac:dyDescent="0.3">
      <c r="A13" s="411">
        <v>5</v>
      </c>
      <c r="B13" s="412">
        <f>IF(AND(B11&lt;A13,A13&lt;D11),1/(D11-B11),0)</f>
        <v>0.1</v>
      </c>
      <c r="C13" s="413">
        <f>IF(AND(B11&lt;A13,A13&lt;D11),(A13-B11)/(D11-B11),IF(A13&lt;=B11,0,1))</f>
        <v>0.5</v>
      </c>
      <c r="F13" s="411">
        <v>0.2</v>
      </c>
      <c r="G13" s="412">
        <f>IF(F13&gt;G11,1/I11*EXP(-(F13-G11)/I11),0)</f>
        <v>0.81873075307798182</v>
      </c>
      <c r="H13" s="413">
        <f>IF(F13&gt;G11,1-EXP(-(F13-G11)/I11),0)</f>
        <v>0.18126924692201818</v>
      </c>
      <c r="K13" s="411">
        <v>0</v>
      </c>
      <c r="L13" s="412">
        <f>NORMDIST(K13,L11,N11^0.5,0)</f>
        <v>0.3989422804014327</v>
      </c>
      <c r="M13" s="413">
        <f>NORMDIST(K13,L11,N11^0.5,1)</f>
        <v>0.5</v>
      </c>
      <c r="P13" s="411">
        <v>10</v>
      </c>
      <c r="Q13" s="412">
        <f>_xlfn.LOGNORM.DIST(P13,Q11,S11^0.5,0)</f>
        <v>2.1326314214417594E-2</v>
      </c>
      <c r="R13" s="413">
        <f>_xlfn.LOGNORM.DIST(P13,Q11,S11^0.5,1)</f>
        <v>0.96049528527707373</v>
      </c>
      <c r="W13" s="211" t="s">
        <v>157</v>
      </c>
      <c r="X13" s="219">
        <f>IF(X11&gt;=0.5,TINV((1-X11)*2,X12),-TINV(X11*2,X12))</f>
        <v>2.0422724563012378</v>
      </c>
      <c r="Y13" s="214"/>
      <c r="Z13" s="214"/>
      <c r="AA13" s="214"/>
      <c r="AB13" s="217" t="s">
        <v>159</v>
      </c>
      <c r="AC13" s="218">
        <v>24</v>
      </c>
      <c r="AD13" s="214"/>
      <c r="AE13" s="214"/>
      <c r="AF13" s="214"/>
    </row>
    <row r="14" spans="1:32" ht="21.25" customHeight="1" x14ac:dyDescent="0.25">
      <c r="A14" s="408" t="s">
        <v>69</v>
      </c>
      <c r="B14" s="410" t="s">
        <v>264</v>
      </c>
      <c r="F14" s="408" t="s">
        <v>69</v>
      </c>
      <c r="G14" s="410" t="s">
        <v>264</v>
      </c>
      <c r="K14" s="408" t="s">
        <v>69</v>
      </c>
      <c r="L14" s="410" t="s">
        <v>264</v>
      </c>
      <c r="P14" s="408" t="s">
        <v>69</v>
      </c>
      <c r="Q14" s="410" t="s">
        <v>264</v>
      </c>
      <c r="W14" s="214"/>
      <c r="X14" s="214"/>
      <c r="Y14" s="214"/>
      <c r="Z14" s="214"/>
      <c r="AA14" s="214"/>
      <c r="AB14" s="217" t="s">
        <v>160</v>
      </c>
      <c r="AC14" s="219">
        <f>FINV(1-AC11,AC12,AC13)</f>
        <v>2.107673404032119</v>
      </c>
      <c r="AD14" s="214"/>
      <c r="AE14" s="214"/>
      <c r="AF14" s="214"/>
    </row>
    <row r="15" spans="1:32" ht="21.25" customHeight="1" thickBot="1" x14ac:dyDescent="0.3">
      <c r="A15" s="411">
        <v>0.95</v>
      </c>
      <c r="B15" s="413">
        <f>B11+A15*(D11-B11)</f>
        <v>9.5</v>
      </c>
      <c r="F15" s="411">
        <v>0.1</v>
      </c>
      <c r="G15" s="413">
        <f>G11-I11*LN(1-F15)</f>
        <v>0.10536051565782628</v>
      </c>
      <c r="K15" s="411">
        <v>0.97499999999999998</v>
      </c>
      <c r="L15" s="413">
        <f>NORMINV(K15,L11,N11^0.5)</f>
        <v>1.9599639845400536</v>
      </c>
      <c r="P15" s="411">
        <v>0.5</v>
      </c>
      <c r="Q15" s="413">
        <f>_xlfn.LOGNORM.INV(P15,Q11,S11^0.5)</f>
        <v>4.9530324243951149</v>
      </c>
      <c r="W15" s="214"/>
      <c r="X15" s="214"/>
      <c r="Y15" s="214"/>
      <c r="Z15" s="214"/>
      <c r="AA15" s="214"/>
      <c r="AB15" s="222"/>
      <c r="AC15" s="223"/>
      <c r="AD15" s="214"/>
      <c r="AE15" s="214"/>
      <c r="AF15" s="214"/>
    </row>
    <row r="16" spans="1:32" ht="21.25" customHeight="1" x14ac:dyDescent="0.25">
      <c r="W16" s="220" t="s">
        <v>161</v>
      </c>
      <c r="X16" s="220"/>
      <c r="Y16" s="220"/>
      <c r="Z16" s="214"/>
      <c r="AA16" s="214"/>
      <c r="AB16" s="220" t="s">
        <v>163</v>
      </c>
      <c r="AC16" s="214"/>
      <c r="AD16" s="214"/>
      <c r="AE16" s="214"/>
      <c r="AF16" s="214"/>
    </row>
    <row r="17" spans="1:29" ht="21.25" customHeight="1" thickBot="1" x14ac:dyDescent="0.3">
      <c r="A17" s="220" t="s">
        <v>100</v>
      </c>
      <c r="F17" s="220" t="s">
        <v>154</v>
      </c>
      <c r="J17" s="220" t="s">
        <v>101</v>
      </c>
      <c r="K17" s="220"/>
      <c r="L17" s="220"/>
      <c r="M17" s="220"/>
    </row>
    <row r="18" spans="1:29" ht="21.25" customHeight="1" thickBot="1" x14ac:dyDescent="0.3">
      <c r="A18" s="404" t="s">
        <v>125</v>
      </c>
      <c r="B18" s="407">
        <v>2</v>
      </c>
      <c r="C18" s="222"/>
      <c r="D18" s="403"/>
      <c r="F18" s="404" t="s">
        <v>125</v>
      </c>
      <c r="G18" s="407">
        <v>10</v>
      </c>
      <c r="J18" s="404" t="s">
        <v>269</v>
      </c>
      <c r="K18" s="405">
        <v>15</v>
      </c>
      <c r="L18" s="406" t="s">
        <v>270</v>
      </c>
      <c r="M18" s="407">
        <v>24</v>
      </c>
      <c r="W18" s="211" t="s">
        <v>74</v>
      </c>
      <c r="X18" s="218">
        <v>1.38</v>
      </c>
      <c r="AB18" s="211" t="s">
        <v>1</v>
      </c>
      <c r="AC18" s="218">
        <v>11</v>
      </c>
    </row>
    <row r="19" spans="1:29" ht="21.25" customHeight="1" x14ac:dyDescent="0.25">
      <c r="A19" s="408" t="s">
        <v>69</v>
      </c>
      <c r="B19" s="410" t="s">
        <v>264</v>
      </c>
      <c r="C19" s="222"/>
      <c r="D19" s="421"/>
      <c r="F19" s="408" t="s">
        <v>69</v>
      </c>
      <c r="G19" s="410" t="s">
        <v>264</v>
      </c>
      <c r="J19" s="423" t="s">
        <v>69</v>
      </c>
      <c r="K19" s="424" t="s">
        <v>264</v>
      </c>
      <c r="W19" s="217" t="s">
        <v>162</v>
      </c>
      <c r="X19" s="221">
        <f>NORMSDIST(X18)</f>
        <v>0.91620667758498575</v>
      </c>
      <c r="AB19" s="217" t="s">
        <v>164</v>
      </c>
      <c r="AC19" s="218">
        <v>8</v>
      </c>
    </row>
    <row r="20" spans="1:29" ht="21.25" customHeight="1" thickBot="1" x14ac:dyDescent="0.3">
      <c r="A20" s="411">
        <v>0.95</v>
      </c>
      <c r="B20" s="413">
        <f>CHIINV(1-A20,B18)</f>
        <v>5.9914645471079799</v>
      </c>
      <c r="C20" s="422"/>
      <c r="D20" s="421"/>
      <c r="F20" s="411">
        <v>0.97499999999999998</v>
      </c>
      <c r="G20" s="413">
        <f>IF(F20&gt;=0.5,TINV((1-F20)*2,G18),-TINV(F20*2,G18))</f>
        <v>2.2281388519862744</v>
      </c>
      <c r="J20" s="411">
        <v>0.95</v>
      </c>
      <c r="K20" s="413">
        <f>FINV(1-J20,K18,M18)</f>
        <v>2.107673404032119</v>
      </c>
      <c r="AB20" s="217" t="s">
        <v>165</v>
      </c>
      <c r="AC20" s="221">
        <f>EXP(-AC19)*AC19^AC18/FACT(AC18)</f>
        <v>7.2190206422934985E-2</v>
      </c>
    </row>
    <row r="21" spans="1:29" ht="21.25" customHeight="1" x14ac:dyDescent="0.25">
      <c r="F21" s="420"/>
      <c r="W21" s="220"/>
    </row>
  </sheetData>
  <sheetProtection formatCells="0"/>
  <phoneticPr fontId="2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D27"/>
  </cellWatch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tabColor rgb="FFFFFF00"/>
  </sheetPr>
  <dimension ref="C1:I22"/>
  <sheetViews>
    <sheetView showGridLines="0" tabSelected="1" workbookViewId="0"/>
  </sheetViews>
  <sheetFormatPr defaultColWidth="7.453125" defaultRowHeight="16.149999999999999" customHeight="1" x14ac:dyDescent="0.25"/>
  <cols>
    <col min="1" max="16384" width="7.453125" style="236"/>
  </cols>
  <sheetData>
    <row r="1" spans="3:9" ht="16.149999999999999" customHeight="1" x14ac:dyDescent="0.25">
      <c r="C1" s="241"/>
      <c r="D1" s="241"/>
      <c r="E1" s="241"/>
      <c r="F1" s="241"/>
      <c r="G1" s="241"/>
      <c r="H1" s="241"/>
      <c r="I1" s="241"/>
    </row>
    <row r="2" spans="3:9" ht="16.149999999999999" customHeight="1" x14ac:dyDescent="0.25">
      <c r="C2" s="241"/>
      <c r="D2" s="241"/>
      <c r="E2" s="241"/>
      <c r="F2" s="241"/>
      <c r="G2" s="241"/>
      <c r="H2" s="241"/>
      <c r="I2" s="241"/>
    </row>
    <row r="3" spans="3:9" ht="16.149999999999999" customHeight="1" thickBot="1" x14ac:dyDescent="0.3">
      <c r="C3" s="558"/>
      <c r="D3" s="558"/>
      <c r="E3" s="558"/>
      <c r="F3" s="558"/>
      <c r="G3" s="558"/>
      <c r="H3" s="558"/>
      <c r="I3" s="241"/>
    </row>
    <row r="4" spans="3:9" ht="16.149999999999999" customHeight="1" x14ac:dyDescent="0.25">
      <c r="C4" s="237"/>
      <c r="D4" s="238"/>
      <c r="E4" s="238"/>
      <c r="F4" s="238"/>
      <c r="G4" s="238"/>
      <c r="H4" s="239"/>
      <c r="I4" s="241"/>
    </row>
    <row r="5" spans="3:9" ht="16.149999999999999" customHeight="1" x14ac:dyDescent="0.25">
      <c r="C5" s="425"/>
      <c r="D5" s="426"/>
      <c r="E5" s="426"/>
      <c r="F5" s="426"/>
      <c r="G5" s="426"/>
      <c r="H5" s="427"/>
      <c r="I5" s="241"/>
    </row>
    <row r="6" spans="3:9" ht="16.149999999999999" customHeight="1" x14ac:dyDescent="0.25">
      <c r="C6" s="425"/>
      <c r="D6" s="426"/>
      <c r="E6" s="426"/>
      <c r="F6" s="426"/>
      <c r="G6" s="426"/>
      <c r="H6" s="427"/>
      <c r="I6" s="241"/>
    </row>
    <row r="7" spans="3:9" ht="16.149999999999999" customHeight="1" x14ac:dyDescent="0.25">
      <c r="C7" s="240"/>
      <c r="D7" s="241"/>
      <c r="E7" s="241"/>
      <c r="F7" s="241"/>
      <c r="G7" s="241"/>
      <c r="H7" s="242"/>
      <c r="I7" s="241"/>
    </row>
    <row r="8" spans="3:9" ht="16.149999999999999" customHeight="1" x14ac:dyDescent="0.25">
      <c r="C8" s="561" t="s">
        <v>227</v>
      </c>
      <c r="D8" s="562"/>
      <c r="E8" s="562"/>
      <c r="F8" s="562"/>
      <c r="G8" s="562"/>
      <c r="H8" s="563"/>
      <c r="I8" s="241"/>
    </row>
    <row r="9" spans="3:9" ht="16.149999999999999" customHeight="1" x14ac:dyDescent="0.25">
      <c r="C9" s="428"/>
      <c r="D9" s="429"/>
      <c r="E9" s="429"/>
      <c r="F9" s="429"/>
      <c r="G9" s="429"/>
      <c r="H9" s="430"/>
      <c r="I9" s="241"/>
    </row>
    <row r="10" spans="3:9" ht="16.149999999999999" customHeight="1" x14ac:dyDescent="0.25">
      <c r="C10" s="564" t="s">
        <v>271</v>
      </c>
      <c r="D10" s="565"/>
      <c r="E10" s="565"/>
      <c r="F10" s="565"/>
      <c r="G10" s="565"/>
      <c r="H10" s="566"/>
      <c r="I10" s="241"/>
    </row>
    <row r="11" spans="3:9" ht="16.149999999999999" customHeight="1" x14ac:dyDescent="0.25">
      <c r="C11" s="567" t="s">
        <v>272</v>
      </c>
      <c r="D11" s="568"/>
      <c r="E11" s="568"/>
      <c r="F11" s="568"/>
      <c r="G11" s="568"/>
      <c r="H11" s="569"/>
      <c r="I11" s="241"/>
    </row>
    <row r="12" spans="3:9" ht="16.149999999999999" customHeight="1" x14ac:dyDescent="0.25">
      <c r="C12" s="240"/>
      <c r="D12" s="241"/>
      <c r="E12" s="241"/>
      <c r="F12" s="241"/>
      <c r="G12" s="241"/>
      <c r="H12" s="242"/>
      <c r="I12" s="241"/>
    </row>
    <row r="13" spans="3:9" ht="16.149999999999999" customHeight="1" x14ac:dyDescent="0.25">
      <c r="C13" s="559" t="s">
        <v>343</v>
      </c>
      <c r="D13" s="558"/>
      <c r="E13" s="558"/>
      <c r="F13" s="558"/>
      <c r="G13" s="558"/>
      <c r="H13" s="560"/>
      <c r="I13" s="241"/>
    </row>
    <row r="14" spans="3:9" ht="16.149999999999999" customHeight="1" x14ac:dyDescent="0.25">
      <c r="C14" s="567" t="s">
        <v>344</v>
      </c>
      <c r="D14" s="570"/>
      <c r="E14" s="570"/>
      <c r="F14" s="570"/>
      <c r="G14" s="570"/>
      <c r="H14" s="571"/>
      <c r="I14" s="241"/>
    </row>
    <row r="15" spans="3:9" ht="16.149999999999999" customHeight="1" x14ac:dyDescent="0.25">
      <c r="C15" s="240"/>
      <c r="D15" s="241"/>
      <c r="E15" s="241"/>
      <c r="F15" s="241"/>
      <c r="G15" s="241"/>
      <c r="H15" s="242"/>
      <c r="I15" s="241"/>
    </row>
    <row r="16" spans="3:9" ht="16.149999999999999" customHeight="1" x14ac:dyDescent="0.25">
      <c r="C16" s="240"/>
      <c r="D16" s="241"/>
      <c r="E16" s="241"/>
      <c r="F16" s="241"/>
      <c r="G16" s="241"/>
      <c r="H16" s="242"/>
      <c r="I16" s="241"/>
    </row>
    <row r="17" spans="3:9" ht="16.149999999999999" customHeight="1" x14ac:dyDescent="0.25">
      <c r="C17" s="559" t="s">
        <v>152</v>
      </c>
      <c r="D17" s="558"/>
      <c r="E17" s="558"/>
      <c r="F17" s="558"/>
      <c r="G17" s="558"/>
      <c r="H17" s="560"/>
      <c r="I17" s="241"/>
    </row>
    <row r="18" spans="3:9" ht="16.149999999999999" customHeight="1" x14ac:dyDescent="0.25">
      <c r="C18" s="559" t="s">
        <v>151</v>
      </c>
      <c r="D18" s="558"/>
      <c r="E18" s="558"/>
      <c r="F18" s="558"/>
      <c r="G18" s="558"/>
      <c r="H18" s="560"/>
      <c r="I18" s="241"/>
    </row>
    <row r="19" spans="3:9" ht="16.149999999999999" customHeight="1" x14ac:dyDescent="0.25">
      <c r="C19" s="559" t="s">
        <v>153</v>
      </c>
      <c r="D19" s="558"/>
      <c r="E19" s="558"/>
      <c r="F19" s="558"/>
      <c r="G19" s="558"/>
      <c r="H19" s="560"/>
      <c r="I19" s="241"/>
    </row>
    <row r="20" spans="3:9" ht="16.149999999999999" customHeight="1" x14ac:dyDescent="0.25">
      <c r="C20" s="425"/>
      <c r="D20" s="426"/>
      <c r="E20" s="426"/>
      <c r="F20" s="426"/>
      <c r="G20" s="426"/>
      <c r="H20" s="427"/>
      <c r="I20" s="241"/>
    </row>
    <row r="21" spans="3:9" ht="16.149999999999999" customHeight="1" x14ac:dyDescent="0.25">
      <c r="C21" s="431"/>
      <c r="D21" s="432"/>
      <c r="E21" s="432"/>
      <c r="F21" s="432"/>
      <c r="G21" s="432"/>
      <c r="H21" s="433"/>
      <c r="I21" s="241"/>
    </row>
    <row r="22" spans="3:9" ht="16.149999999999999" customHeight="1" thickBot="1" x14ac:dyDescent="0.3">
      <c r="C22" s="243"/>
      <c r="D22" s="244"/>
      <c r="E22" s="244"/>
      <c r="F22" s="244"/>
      <c r="G22" s="244"/>
      <c r="H22" s="245"/>
      <c r="I22" s="241"/>
    </row>
  </sheetData>
  <sheetProtection algorithmName="SHA-512" hashValue="HnXLwuSfBbQXw+6pybZwWnZ2rkDnyFJHHcL8TzWFA55mqS7Oak0tgOgk22qo1BzlpHk0hnFMk16grEnKljJ8Vw==" saltValue="hwjo+lYHjjGe9aSnMqnMBg==" spinCount="100000" sheet="1" objects="1" scenarios="1" selectLockedCells="1" selectUnlockedCells="1"/>
  <mergeCells count="9">
    <mergeCell ref="C3:H3"/>
    <mergeCell ref="C18:H18"/>
    <mergeCell ref="C19:H19"/>
    <mergeCell ref="C8:H8"/>
    <mergeCell ref="C17:H17"/>
    <mergeCell ref="C10:H10"/>
    <mergeCell ref="C11:H11"/>
    <mergeCell ref="C13:H13"/>
    <mergeCell ref="C14:H14"/>
  </mergeCells>
  <phoneticPr fontId="0" type="noConversion"/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tabColor indexed="10"/>
  </sheetPr>
  <dimension ref="A1:DY221"/>
  <sheetViews>
    <sheetView workbookViewId="0">
      <pane ySplit="1" topLeftCell="A2" activePane="bottomLeft" state="frozen"/>
      <selection activeCell="L15" sqref="L15"/>
      <selection pane="bottomLeft" activeCell="BD2" sqref="BD2"/>
    </sheetView>
  </sheetViews>
  <sheetFormatPr defaultColWidth="10.26953125" defaultRowHeight="16.149999999999999" customHeight="1" x14ac:dyDescent="0.35"/>
  <cols>
    <col min="1" max="3" width="13.54296875" style="261" customWidth="1"/>
    <col min="4" max="4" width="11.81640625" style="443" bestFit="1" customWidth="1"/>
    <col min="5" max="5" width="14" style="449" bestFit="1" customWidth="1"/>
    <col min="6" max="6" width="17.26953125" style="449" bestFit="1" customWidth="1"/>
    <col min="7" max="7" width="12.81640625" style="443" bestFit="1" customWidth="1"/>
    <col min="8" max="8" width="16.81640625" style="443" bestFit="1" customWidth="1"/>
    <col min="9" max="9" width="21.453125" style="443" bestFit="1" customWidth="1"/>
    <col min="10" max="10" width="16.7265625" style="443" bestFit="1" customWidth="1"/>
    <col min="11" max="11" width="16.453125" style="443" bestFit="1" customWidth="1"/>
    <col min="12" max="12" width="13.26953125" style="443" bestFit="1" customWidth="1"/>
    <col min="13" max="13" width="18.81640625" style="443" bestFit="1" customWidth="1"/>
    <col min="14" max="14" width="18.1796875" style="443" bestFit="1" customWidth="1"/>
    <col min="15" max="15" width="20.7265625" style="443" bestFit="1" customWidth="1"/>
    <col min="16" max="16" width="11.1796875" style="445" customWidth="1"/>
    <col min="17" max="17" width="17.7265625" style="445" bestFit="1" customWidth="1"/>
    <col min="18" max="18" width="17.7265625" style="445" customWidth="1"/>
    <col min="19" max="19" width="11.1796875" style="445" customWidth="1"/>
    <col min="20" max="20" width="12" style="445" bestFit="1" customWidth="1"/>
    <col min="21" max="21" width="11.1796875" style="445" customWidth="1"/>
    <col min="22" max="22" width="12.81640625" style="445" bestFit="1" customWidth="1"/>
    <col min="23" max="23" width="12.81640625" style="445" customWidth="1"/>
    <col min="24" max="24" width="14.453125" style="445" bestFit="1" customWidth="1"/>
    <col min="25" max="25" width="14.453125" style="445" customWidth="1"/>
    <col min="26" max="27" width="11.1796875" style="445" customWidth="1"/>
    <col min="28" max="28" width="12.1796875" style="445" customWidth="1"/>
    <col min="29" max="29" width="12.7265625" style="445" customWidth="1"/>
    <col min="30" max="30" width="15.7265625" style="445" bestFit="1" customWidth="1"/>
    <col min="31" max="31" width="13.7265625" style="445" bestFit="1" customWidth="1"/>
    <col min="32" max="32" width="14.26953125" style="446" bestFit="1" customWidth="1"/>
    <col min="33" max="33" width="19.26953125" style="446" bestFit="1" customWidth="1"/>
    <col min="34" max="35" width="13.7265625" style="446" customWidth="1"/>
    <col min="36" max="36" width="13.26953125" style="443" bestFit="1" customWidth="1"/>
    <col min="37" max="37" width="13" style="443" customWidth="1"/>
    <col min="38" max="39" width="15.453125" style="443" bestFit="1" customWidth="1"/>
    <col min="40" max="41" width="13.7265625" style="443" bestFit="1" customWidth="1"/>
    <col min="42" max="43" width="18" style="443" bestFit="1" customWidth="1"/>
    <col min="44" max="44" width="17.1796875" style="443" bestFit="1" customWidth="1"/>
    <col min="45" max="45" width="15.26953125" style="443" bestFit="1" customWidth="1"/>
    <col min="46" max="46" width="19.453125" style="443" bestFit="1" customWidth="1"/>
    <col min="47" max="47" width="16.26953125" style="443" bestFit="1" customWidth="1"/>
    <col min="48" max="49" width="16" style="443" bestFit="1" customWidth="1"/>
    <col min="50" max="51" width="19.26953125" style="443" bestFit="1" customWidth="1"/>
    <col min="52" max="52" width="11.81640625" style="443" bestFit="1" customWidth="1"/>
    <col min="53" max="53" width="13.26953125" style="443" bestFit="1" customWidth="1"/>
    <col min="54" max="54" width="13.26953125" style="443" customWidth="1"/>
    <col min="55" max="55" width="15.26953125" style="443" bestFit="1" customWidth="1"/>
    <col min="56" max="56" width="13.1796875" style="446" customWidth="1"/>
    <col min="57" max="58" width="10.26953125" style="446"/>
    <col min="59" max="59" width="14.81640625" style="256" bestFit="1" customWidth="1"/>
    <col min="60" max="60" width="14.7265625" style="256" bestFit="1" customWidth="1"/>
    <col min="61" max="62" width="17.26953125" style="256" bestFit="1" customWidth="1"/>
    <col min="63" max="64" width="18.453125" style="256" bestFit="1" customWidth="1"/>
    <col min="65" max="65" width="14.54296875" style="256" bestFit="1" customWidth="1"/>
    <col min="66" max="66" width="12.26953125" style="256" bestFit="1" customWidth="1"/>
    <col min="67" max="67" width="16.7265625" style="256" bestFit="1" customWidth="1"/>
    <col min="68" max="68" width="16.54296875" style="256" bestFit="1" customWidth="1"/>
    <col min="69" max="69" width="16.7265625" style="256" bestFit="1" customWidth="1"/>
    <col min="70" max="70" width="15" style="256" bestFit="1" customWidth="1"/>
    <col min="71" max="71" width="16.453125" style="256" bestFit="1" customWidth="1"/>
    <col min="72" max="72" width="14.7265625" style="256" bestFit="1" customWidth="1"/>
    <col min="73" max="73" width="17.453125" style="256" bestFit="1" customWidth="1"/>
    <col min="74" max="74" width="15.54296875" style="256" bestFit="1" customWidth="1"/>
    <col min="75" max="75" width="21.1796875" style="256" bestFit="1" customWidth="1"/>
    <col min="76" max="76" width="18.81640625" style="256" bestFit="1" customWidth="1"/>
    <col min="77" max="77" width="18.7265625" style="256" bestFit="1" customWidth="1"/>
    <col min="78" max="78" width="18.453125" style="256" bestFit="1" customWidth="1"/>
    <col min="79" max="79" width="16.453125" style="255" bestFit="1" customWidth="1"/>
    <col min="80" max="80" width="15.1796875" style="255" bestFit="1" customWidth="1"/>
    <col min="81" max="81" width="13.1796875" style="255" bestFit="1" customWidth="1"/>
    <col min="82" max="82" width="4.26953125" style="363" customWidth="1"/>
    <col min="83" max="83" width="11" style="365" bestFit="1" customWidth="1"/>
    <col min="84" max="84" width="13.26953125" style="367" bestFit="1" customWidth="1"/>
    <col min="85" max="85" width="16.1796875" style="367" bestFit="1" customWidth="1"/>
    <col min="86" max="86" width="11.453125" style="365" customWidth="1"/>
    <col min="87" max="87" width="11.54296875" style="365" bestFit="1" customWidth="1"/>
    <col min="88" max="88" width="16" style="365" bestFit="1" customWidth="1"/>
    <col min="89" max="89" width="11" style="365" bestFit="1" customWidth="1"/>
    <col min="90" max="90" width="11.453125" style="365" bestFit="1" customWidth="1"/>
    <col min="91" max="91" width="12.7265625" style="365" bestFit="1" customWidth="1"/>
    <col min="92" max="92" width="12.26953125" style="365" bestFit="1" customWidth="1"/>
    <col min="93" max="93" width="14.81640625" style="365" bestFit="1" customWidth="1"/>
    <col min="94" max="95" width="12.54296875" style="365" customWidth="1"/>
    <col min="96" max="97" width="26.26953125" style="252" customWidth="1"/>
    <col min="98" max="98" width="15.54296875" style="252" customWidth="1"/>
    <col min="99" max="99" width="13.26953125" style="252" customWidth="1"/>
    <col min="100" max="100" width="11.7265625" style="371" customWidth="1"/>
    <col min="101" max="101" width="11.7265625" style="365" customWidth="1"/>
    <col min="102" max="103" width="10.7265625" style="365" customWidth="1"/>
    <col min="104" max="104" width="11.54296875" style="365" bestFit="1" customWidth="1"/>
    <col min="105" max="105" width="11.54296875" style="365" customWidth="1"/>
    <col min="106" max="107" width="11.1796875" style="365" customWidth="1"/>
    <col min="108" max="109" width="11.7265625" style="365" bestFit="1" customWidth="1"/>
    <col min="110" max="111" width="11" style="365" customWidth="1"/>
    <col min="112" max="113" width="11.1796875" style="365" customWidth="1"/>
    <col min="114" max="114" width="10.54296875" style="365" bestFit="1" customWidth="1"/>
    <col min="115" max="115" width="10.54296875" style="365" customWidth="1"/>
    <col min="116" max="118" width="11.1796875" style="374" customWidth="1"/>
    <col min="119" max="119" width="11.1796875" style="377" customWidth="1"/>
    <col min="120" max="127" width="11.1796875" style="374" customWidth="1"/>
    <col min="128" max="128" width="10.26953125" style="364"/>
    <col min="129" max="129" width="10.26953125" style="356"/>
    <col min="130" max="16384" width="10.26953125" style="252"/>
  </cols>
  <sheetData>
    <row r="1" spans="1:129" s="550" customFormat="1" ht="16.149999999999999" customHeight="1" x14ac:dyDescent="0.25">
      <c r="A1" s="536" t="s">
        <v>168</v>
      </c>
      <c r="B1" s="536" t="s">
        <v>169</v>
      </c>
      <c r="C1" s="536" t="s">
        <v>218</v>
      </c>
      <c r="D1" s="434" t="s">
        <v>231</v>
      </c>
      <c r="E1" s="435" t="s">
        <v>339</v>
      </c>
      <c r="F1" s="436" t="s">
        <v>229</v>
      </c>
      <c r="G1" s="434" t="s">
        <v>345</v>
      </c>
      <c r="H1" s="434" t="s">
        <v>346</v>
      </c>
      <c r="I1" s="434" t="s">
        <v>347</v>
      </c>
      <c r="J1" s="434" t="s">
        <v>348</v>
      </c>
      <c r="K1" s="554" t="s">
        <v>349</v>
      </c>
      <c r="L1" s="434" t="s">
        <v>350</v>
      </c>
      <c r="M1" s="434" t="s">
        <v>351</v>
      </c>
      <c r="N1" s="434" t="s">
        <v>352</v>
      </c>
      <c r="O1" s="554" t="s">
        <v>353</v>
      </c>
      <c r="P1" s="437" t="s">
        <v>234</v>
      </c>
      <c r="Q1" s="437" t="s">
        <v>354</v>
      </c>
      <c r="R1" s="555" t="s">
        <v>355</v>
      </c>
      <c r="S1" s="437" t="s">
        <v>273</v>
      </c>
      <c r="T1" s="437" t="s">
        <v>230</v>
      </c>
      <c r="U1" s="437" t="s">
        <v>235</v>
      </c>
      <c r="V1" s="437" t="s">
        <v>356</v>
      </c>
      <c r="W1" s="437" t="s">
        <v>357</v>
      </c>
      <c r="X1" s="437" t="s">
        <v>358</v>
      </c>
      <c r="Y1" s="555" t="s">
        <v>359</v>
      </c>
      <c r="Z1" s="437" t="s">
        <v>233</v>
      </c>
      <c r="AA1" s="555" t="s">
        <v>232</v>
      </c>
      <c r="AB1" s="437" t="s">
        <v>360</v>
      </c>
      <c r="AC1" s="437" t="s">
        <v>361</v>
      </c>
      <c r="AD1" s="437" t="s">
        <v>362</v>
      </c>
      <c r="AE1" s="555" t="s">
        <v>363</v>
      </c>
      <c r="AF1" s="438" t="s">
        <v>274</v>
      </c>
      <c r="AG1" s="438" t="s">
        <v>275</v>
      </c>
      <c r="AH1" s="438" t="s">
        <v>276</v>
      </c>
      <c r="AI1" s="438" t="s">
        <v>277</v>
      </c>
      <c r="AJ1" s="434" t="s">
        <v>364</v>
      </c>
      <c r="AK1" s="434" t="s">
        <v>365</v>
      </c>
      <c r="AL1" s="434" t="s">
        <v>366</v>
      </c>
      <c r="AM1" s="434" t="s">
        <v>367</v>
      </c>
      <c r="AN1" s="554" t="s">
        <v>368</v>
      </c>
      <c r="AO1" s="554" t="s">
        <v>369</v>
      </c>
      <c r="AP1" s="434" t="s">
        <v>370</v>
      </c>
      <c r="AQ1" s="434" t="s">
        <v>371</v>
      </c>
      <c r="AR1" s="434" t="s">
        <v>372</v>
      </c>
      <c r="AS1" s="434" t="s">
        <v>373</v>
      </c>
      <c r="AT1" s="434" t="s">
        <v>374</v>
      </c>
      <c r="AU1" s="554" t="s">
        <v>375</v>
      </c>
      <c r="AV1" s="434" t="s">
        <v>376</v>
      </c>
      <c r="AW1" s="434" t="s">
        <v>377</v>
      </c>
      <c r="AX1" s="434" t="s">
        <v>378</v>
      </c>
      <c r="AY1" s="554" t="s">
        <v>379</v>
      </c>
      <c r="AZ1" s="434" t="s">
        <v>278</v>
      </c>
      <c r="BA1" s="434" t="s">
        <v>380</v>
      </c>
      <c r="BB1" s="434" t="s">
        <v>381</v>
      </c>
      <c r="BC1" s="434" t="s">
        <v>382</v>
      </c>
      <c r="BD1" s="556" t="s">
        <v>383</v>
      </c>
      <c r="BE1" s="439"/>
      <c r="BF1" s="439"/>
      <c r="BG1" s="537"/>
      <c r="BH1" s="537"/>
      <c r="BI1" s="537"/>
      <c r="BJ1" s="537"/>
      <c r="BK1" s="537"/>
      <c r="BL1" s="537"/>
      <c r="BM1" s="538"/>
      <c r="BN1" s="538"/>
      <c r="BO1" s="538"/>
      <c r="BP1" s="538"/>
      <c r="BQ1" s="538"/>
      <c r="BR1" s="538"/>
      <c r="BS1" s="538"/>
      <c r="BT1" s="538"/>
      <c r="BU1" s="538"/>
      <c r="BV1" s="538"/>
      <c r="BW1" s="538"/>
      <c r="BX1" s="538"/>
      <c r="BY1" s="538"/>
      <c r="BZ1" s="538"/>
      <c r="CA1" s="539"/>
      <c r="CB1" s="539"/>
      <c r="CC1" s="539"/>
      <c r="CD1" s="540"/>
      <c r="CE1" s="541"/>
      <c r="CF1" s="542"/>
      <c r="CG1" s="543"/>
      <c r="CH1" s="541"/>
      <c r="CI1" s="541"/>
      <c r="CJ1" s="541"/>
      <c r="CK1" s="541"/>
      <c r="CL1" s="541"/>
      <c r="CM1" s="541"/>
      <c r="CN1" s="541"/>
      <c r="CO1" s="541"/>
      <c r="CP1" s="544"/>
      <c r="CQ1" s="545"/>
      <c r="CR1" s="546"/>
      <c r="CS1" s="546"/>
      <c r="CT1" s="546"/>
      <c r="CU1" s="546"/>
      <c r="CV1" s="535"/>
      <c r="CW1" s="541"/>
      <c r="CX1" s="541"/>
      <c r="CY1" s="541"/>
      <c r="CZ1" s="541"/>
      <c r="DA1" s="541"/>
      <c r="DB1" s="541"/>
      <c r="DC1" s="541"/>
      <c r="DD1" s="541"/>
      <c r="DE1" s="541"/>
      <c r="DF1" s="541"/>
      <c r="DG1" s="541"/>
      <c r="DH1" s="541"/>
      <c r="DI1" s="541"/>
      <c r="DJ1" s="541"/>
      <c r="DK1" s="541"/>
      <c r="DL1" s="547"/>
      <c r="DM1" s="547"/>
      <c r="DN1" s="547"/>
      <c r="DO1" s="548"/>
      <c r="DP1" s="547"/>
      <c r="DQ1" s="547"/>
      <c r="DR1" s="547"/>
      <c r="DS1" s="547"/>
      <c r="DT1" s="547"/>
      <c r="DU1" s="547"/>
      <c r="DV1" s="547"/>
      <c r="DW1" s="547"/>
      <c r="DX1" s="549"/>
      <c r="DY1" s="546"/>
    </row>
    <row r="2" spans="1:129" ht="16.149999999999999" customHeight="1" x14ac:dyDescent="0.35">
      <c r="A2" s="260">
        <v>23.19</v>
      </c>
      <c r="B2" s="260">
        <v>5.77</v>
      </c>
      <c r="C2" s="260">
        <v>2.5</v>
      </c>
      <c r="D2" s="440">
        <v>14.85</v>
      </c>
      <c r="E2" s="441">
        <v>83</v>
      </c>
      <c r="F2" s="442">
        <v>1.23</v>
      </c>
      <c r="G2" s="440">
        <v>49.8</v>
      </c>
      <c r="H2" s="440">
        <v>41</v>
      </c>
      <c r="I2" s="440">
        <v>5</v>
      </c>
      <c r="J2" s="440">
        <v>6.8</v>
      </c>
      <c r="K2" s="440">
        <v>147</v>
      </c>
      <c r="L2" s="440">
        <v>11</v>
      </c>
      <c r="M2" s="443">
        <v>35</v>
      </c>
      <c r="N2" s="443">
        <v>997</v>
      </c>
      <c r="O2" s="443">
        <v>0.5</v>
      </c>
      <c r="P2" s="444">
        <v>25.4</v>
      </c>
      <c r="Q2" s="444">
        <v>10.5</v>
      </c>
      <c r="R2" s="444">
        <v>30</v>
      </c>
      <c r="S2" s="445">
        <v>6.5</v>
      </c>
      <c r="T2" s="445">
        <v>39</v>
      </c>
      <c r="U2" s="445">
        <v>238</v>
      </c>
      <c r="V2" s="445">
        <v>42.2</v>
      </c>
      <c r="W2" s="445">
        <v>8.1999999999999993</v>
      </c>
      <c r="X2" s="445">
        <v>37</v>
      </c>
      <c r="Y2" s="445">
        <v>8</v>
      </c>
      <c r="Z2" s="444">
        <v>914</v>
      </c>
      <c r="AA2" s="445">
        <v>5.37</v>
      </c>
      <c r="AB2" s="445">
        <v>4.5</v>
      </c>
      <c r="AC2" s="445">
        <v>1.93</v>
      </c>
      <c r="AD2" s="445">
        <v>25</v>
      </c>
      <c r="AE2" s="445">
        <v>18.600000000000001</v>
      </c>
      <c r="AF2" s="446">
        <v>225</v>
      </c>
      <c r="AG2" s="446">
        <v>236</v>
      </c>
      <c r="AH2" s="447">
        <v>175</v>
      </c>
      <c r="AI2" s="447">
        <v>172</v>
      </c>
      <c r="AJ2" s="443">
        <v>28</v>
      </c>
      <c r="AK2" s="443">
        <v>32</v>
      </c>
      <c r="AL2" s="443">
        <v>15</v>
      </c>
      <c r="AM2" s="443">
        <v>23</v>
      </c>
      <c r="AN2" s="443">
        <v>26</v>
      </c>
      <c r="AO2" s="443">
        <v>17</v>
      </c>
      <c r="AP2" s="443">
        <v>2139</v>
      </c>
      <c r="AQ2" s="443">
        <v>1947</v>
      </c>
      <c r="AR2" s="443">
        <v>9</v>
      </c>
      <c r="AS2" s="443">
        <v>11</v>
      </c>
      <c r="AT2" s="443">
        <v>0.17</v>
      </c>
      <c r="AU2" s="443">
        <v>0.31</v>
      </c>
      <c r="AV2" s="443">
        <v>33.5</v>
      </c>
      <c r="AW2" s="443">
        <v>29.5</v>
      </c>
      <c r="AX2" s="443">
        <v>26.8</v>
      </c>
      <c r="AY2" s="443">
        <v>26.2</v>
      </c>
      <c r="AZ2" s="443">
        <v>0</v>
      </c>
      <c r="BA2" s="443">
        <v>0</v>
      </c>
      <c r="BB2" s="443">
        <v>1.59</v>
      </c>
      <c r="BC2" s="443">
        <v>3</v>
      </c>
      <c r="BD2" s="446">
        <v>53.2</v>
      </c>
      <c r="BG2" s="258"/>
      <c r="BH2" s="254"/>
      <c r="BI2" s="257"/>
      <c r="BJ2" s="257"/>
      <c r="BK2" s="257"/>
      <c r="BL2" s="257"/>
      <c r="BM2" s="259"/>
      <c r="BN2" s="259"/>
      <c r="BO2" s="253"/>
      <c r="BP2" s="253"/>
      <c r="BQ2" s="259"/>
      <c r="BR2" s="253"/>
      <c r="BS2" s="259"/>
      <c r="BT2" s="259"/>
      <c r="BU2" s="259"/>
      <c r="BV2" s="259"/>
      <c r="BW2" s="259"/>
      <c r="BX2" s="259"/>
      <c r="BY2" s="253"/>
      <c r="BZ2" s="253"/>
      <c r="CF2" s="366"/>
      <c r="CG2" s="368"/>
      <c r="CP2" s="370"/>
      <c r="CQ2" s="370"/>
      <c r="CT2" s="379"/>
      <c r="CU2" s="378"/>
      <c r="DB2" s="369"/>
      <c r="DC2" s="369"/>
      <c r="DD2" s="369"/>
      <c r="DE2" s="369"/>
      <c r="DN2" s="375"/>
      <c r="DO2" s="376"/>
      <c r="DP2" s="372"/>
      <c r="DQ2" s="372"/>
    </row>
    <row r="3" spans="1:129" ht="16.149999999999999" customHeight="1" x14ac:dyDescent="0.35">
      <c r="A3" s="260">
        <v>25.5</v>
      </c>
      <c r="B3" s="260">
        <v>6.09</v>
      </c>
      <c r="C3" s="260">
        <v>2.5</v>
      </c>
      <c r="D3" s="443">
        <v>14.68</v>
      </c>
      <c r="E3" s="448">
        <v>85</v>
      </c>
      <c r="F3" s="449">
        <v>1.51</v>
      </c>
      <c r="G3" s="443">
        <v>50.2</v>
      </c>
      <c r="H3" s="443">
        <v>42</v>
      </c>
      <c r="I3" s="443">
        <v>3</v>
      </c>
      <c r="J3" s="443">
        <v>6.6</v>
      </c>
      <c r="K3" s="443">
        <v>125</v>
      </c>
      <c r="L3" s="443">
        <v>13</v>
      </c>
      <c r="M3" s="443">
        <v>29</v>
      </c>
      <c r="N3" s="443">
        <v>991</v>
      </c>
      <c r="O3" s="443">
        <v>5.3</v>
      </c>
      <c r="P3" s="450">
        <v>28</v>
      </c>
      <c r="Q3" s="444">
        <v>10.8</v>
      </c>
      <c r="R3" s="444">
        <v>31</v>
      </c>
      <c r="S3" s="445">
        <v>6.8</v>
      </c>
      <c r="T3" s="445">
        <v>39</v>
      </c>
      <c r="U3" s="445">
        <v>256</v>
      </c>
      <c r="V3" s="445">
        <v>41.8</v>
      </c>
      <c r="W3" s="445">
        <v>11.1</v>
      </c>
      <c r="X3" s="445">
        <v>37</v>
      </c>
      <c r="Y3" s="445">
        <v>8</v>
      </c>
      <c r="Z3" s="444">
        <v>709</v>
      </c>
      <c r="AA3" s="445">
        <v>5.36</v>
      </c>
      <c r="AB3" s="445">
        <v>4.3</v>
      </c>
      <c r="AC3" s="445">
        <v>1.94</v>
      </c>
      <c r="AD3" s="445">
        <v>25</v>
      </c>
      <c r="AE3" s="445">
        <v>27.6</v>
      </c>
      <c r="AF3" s="447">
        <v>240</v>
      </c>
      <c r="AG3" s="447">
        <v>240</v>
      </c>
      <c r="AH3" s="447">
        <v>133</v>
      </c>
      <c r="AI3" s="447">
        <v>133</v>
      </c>
      <c r="AJ3" s="443">
        <v>38</v>
      </c>
      <c r="AK3" s="443">
        <v>42</v>
      </c>
      <c r="AL3" s="443">
        <v>20</v>
      </c>
      <c r="AM3" s="443">
        <v>31</v>
      </c>
      <c r="AN3" s="443">
        <v>29</v>
      </c>
      <c r="AO3" s="443">
        <v>16</v>
      </c>
      <c r="AP3" s="443">
        <v>2041</v>
      </c>
      <c r="AQ3" s="443">
        <v>1602</v>
      </c>
      <c r="AR3" s="443">
        <v>11</v>
      </c>
      <c r="AS3" s="443">
        <v>12</v>
      </c>
      <c r="AT3" s="443">
        <v>0.18</v>
      </c>
      <c r="AU3" s="443">
        <v>0.39</v>
      </c>
      <c r="AV3" s="443">
        <v>28.6</v>
      </c>
      <c r="AW3" s="443">
        <v>30.4</v>
      </c>
      <c r="AX3" s="443">
        <v>22.1</v>
      </c>
      <c r="AY3" s="443">
        <v>22.4</v>
      </c>
      <c r="AZ3" s="443">
        <v>0</v>
      </c>
      <c r="BA3" s="443">
        <v>1</v>
      </c>
      <c r="BB3" s="443">
        <v>1.57</v>
      </c>
      <c r="BC3" s="443">
        <v>3</v>
      </c>
      <c r="BD3" s="451">
        <v>56</v>
      </c>
      <c r="BG3" s="258"/>
      <c r="BH3" s="254"/>
      <c r="BI3" s="257"/>
      <c r="BJ3" s="257"/>
      <c r="BK3" s="257"/>
      <c r="BL3" s="257"/>
      <c r="BM3" s="259"/>
      <c r="BN3" s="259"/>
      <c r="BO3" s="253"/>
      <c r="BP3" s="253"/>
      <c r="BQ3" s="259"/>
      <c r="BR3" s="253"/>
      <c r="BS3" s="259"/>
      <c r="BT3" s="259"/>
      <c r="BU3" s="259"/>
      <c r="BV3" s="259"/>
      <c r="BW3" s="259"/>
      <c r="BX3" s="259"/>
      <c r="BY3" s="253"/>
      <c r="BZ3" s="253"/>
      <c r="CF3" s="366"/>
      <c r="CG3" s="368"/>
      <c r="CP3" s="370"/>
      <c r="CQ3" s="370"/>
      <c r="CR3" s="378"/>
      <c r="CS3" s="378"/>
      <c r="CT3" s="379"/>
      <c r="CU3" s="378"/>
      <c r="DB3" s="369"/>
      <c r="DC3" s="369"/>
      <c r="DD3" s="369"/>
      <c r="DE3" s="369"/>
      <c r="DN3" s="375"/>
      <c r="DO3" s="376"/>
      <c r="DP3" s="372"/>
      <c r="DQ3" s="372"/>
    </row>
    <row r="4" spans="1:129" ht="16.149999999999999" customHeight="1" x14ac:dyDescent="0.35">
      <c r="A4" s="260">
        <v>27.36</v>
      </c>
      <c r="B4" s="260">
        <v>6.64</v>
      </c>
      <c r="C4" s="260">
        <v>2.5</v>
      </c>
      <c r="D4" s="443">
        <v>15.27</v>
      </c>
      <c r="E4" s="448">
        <v>81</v>
      </c>
      <c r="F4" s="449">
        <v>1.41</v>
      </c>
      <c r="G4" s="443">
        <v>50.3</v>
      </c>
      <c r="H4" s="443">
        <v>41</v>
      </c>
      <c r="I4" s="443">
        <v>6</v>
      </c>
      <c r="J4" s="443">
        <v>7.5</v>
      </c>
      <c r="K4" s="443">
        <v>127</v>
      </c>
      <c r="L4" s="443">
        <v>4</v>
      </c>
      <c r="M4" s="443">
        <v>37</v>
      </c>
      <c r="N4" s="443">
        <v>997</v>
      </c>
      <c r="O4" s="443">
        <v>4.0999999999999996</v>
      </c>
      <c r="P4" s="444">
        <v>20.100000000000001</v>
      </c>
      <c r="Q4" s="444">
        <v>11.2</v>
      </c>
      <c r="R4" s="444">
        <v>31</v>
      </c>
      <c r="S4" s="445">
        <v>6.7</v>
      </c>
      <c r="T4" s="445">
        <v>39</v>
      </c>
      <c r="U4" s="445">
        <v>266</v>
      </c>
      <c r="V4" s="445">
        <v>42.5</v>
      </c>
      <c r="W4" s="452">
        <v>13</v>
      </c>
      <c r="X4" s="445">
        <v>37</v>
      </c>
      <c r="Y4" s="445">
        <v>7</v>
      </c>
      <c r="Z4" s="444">
        <v>1106</v>
      </c>
      <c r="AA4" s="445">
        <v>5.35</v>
      </c>
      <c r="AB4" s="445">
        <v>4.0999999999999996</v>
      </c>
      <c r="AC4" s="445">
        <v>1.92</v>
      </c>
      <c r="AD4" s="445">
        <v>28</v>
      </c>
      <c r="AE4" s="445">
        <v>27.5</v>
      </c>
      <c r="AF4" s="447">
        <v>213</v>
      </c>
      <c r="AG4" s="447">
        <v>227</v>
      </c>
      <c r="AH4" s="447">
        <v>143</v>
      </c>
      <c r="AI4" s="447">
        <v>147</v>
      </c>
      <c r="AJ4" s="443">
        <v>41</v>
      </c>
      <c r="AK4" s="443">
        <v>46</v>
      </c>
      <c r="AL4" s="443">
        <v>11</v>
      </c>
      <c r="AM4" s="443">
        <v>13</v>
      </c>
      <c r="AN4" s="443">
        <v>24</v>
      </c>
      <c r="AO4" s="443">
        <v>20</v>
      </c>
      <c r="AP4" s="443">
        <v>1968</v>
      </c>
      <c r="AQ4" s="443">
        <v>1906</v>
      </c>
      <c r="AR4" s="443">
        <v>9</v>
      </c>
      <c r="AS4" s="443">
        <v>10</v>
      </c>
      <c r="AT4" s="453">
        <v>0.2</v>
      </c>
      <c r="AU4" s="443">
        <v>0.25</v>
      </c>
      <c r="AV4" s="443">
        <v>36.200000000000003</v>
      </c>
      <c r="AW4" s="443">
        <v>21.6</v>
      </c>
      <c r="AX4" s="443">
        <v>19.5</v>
      </c>
      <c r="AY4" s="443">
        <v>19.5</v>
      </c>
      <c r="AZ4" s="443">
        <v>1</v>
      </c>
      <c r="BA4" s="443">
        <v>1</v>
      </c>
      <c r="BB4" s="443">
        <v>1.47</v>
      </c>
      <c r="BC4" s="443">
        <v>3</v>
      </c>
      <c r="BD4" s="446">
        <v>56.1</v>
      </c>
      <c r="BG4" s="258"/>
      <c r="BH4" s="254"/>
      <c r="BI4" s="257"/>
      <c r="BJ4" s="257"/>
      <c r="BK4" s="257"/>
      <c r="BL4" s="257"/>
      <c r="BM4" s="259"/>
      <c r="BN4" s="259"/>
      <c r="BO4" s="253"/>
      <c r="BP4" s="253"/>
      <c r="BQ4" s="259"/>
      <c r="BR4" s="253"/>
      <c r="BS4" s="259"/>
      <c r="BT4" s="259"/>
      <c r="BU4" s="259"/>
      <c r="BV4" s="259"/>
      <c r="BW4" s="259"/>
      <c r="BX4" s="259"/>
      <c r="BY4" s="253"/>
      <c r="BZ4" s="253"/>
      <c r="CF4" s="366"/>
      <c r="CG4" s="368"/>
      <c r="CP4" s="370"/>
      <c r="CQ4" s="370"/>
      <c r="CR4" s="378"/>
      <c r="CS4" s="378"/>
      <c r="CT4" s="379"/>
      <c r="CU4" s="378"/>
      <c r="DB4" s="369"/>
      <c r="DC4" s="369"/>
      <c r="DD4" s="369"/>
      <c r="DE4" s="369"/>
      <c r="DN4" s="375"/>
      <c r="DO4" s="376"/>
      <c r="DP4" s="372"/>
      <c r="DQ4" s="372"/>
    </row>
    <row r="5" spans="1:129" ht="16.149999999999999" customHeight="1" x14ac:dyDescent="0.35">
      <c r="A5" s="260">
        <v>23.64</v>
      </c>
      <c r="B5" s="260">
        <v>6.47</v>
      </c>
      <c r="C5" s="260">
        <v>2.5</v>
      </c>
      <c r="D5" s="443">
        <v>14.77</v>
      </c>
      <c r="E5" s="448">
        <v>82</v>
      </c>
      <c r="F5" s="449">
        <v>1.1399999999999999</v>
      </c>
      <c r="G5" s="443">
        <v>49.5</v>
      </c>
      <c r="H5" s="443">
        <v>44</v>
      </c>
      <c r="I5" s="443">
        <v>7</v>
      </c>
      <c r="J5" s="443">
        <v>6.2</v>
      </c>
      <c r="K5" s="443">
        <v>134</v>
      </c>
      <c r="L5" s="443">
        <v>8</v>
      </c>
      <c r="M5" s="443">
        <v>28</v>
      </c>
      <c r="N5" s="443">
        <v>995</v>
      </c>
      <c r="O5" s="443">
        <v>2.8</v>
      </c>
      <c r="P5" s="444">
        <v>27.4</v>
      </c>
      <c r="Q5" s="444">
        <v>10.9</v>
      </c>
      <c r="R5" s="444">
        <v>31</v>
      </c>
      <c r="S5" s="452">
        <v>6</v>
      </c>
      <c r="T5" s="445">
        <v>40</v>
      </c>
      <c r="U5" s="445">
        <v>240</v>
      </c>
      <c r="V5" s="452">
        <v>42</v>
      </c>
      <c r="W5" s="445">
        <v>11.5</v>
      </c>
      <c r="X5" s="445">
        <v>38</v>
      </c>
      <c r="Y5" s="445">
        <v>8</v>
      </c>
      <c r="Z5" s="444">
        <v>1107</v>
      </c>
      <c r="AA5" s="454">
        <v>5.4</v>
      </c>
      <c r="AB5" s="445">
        <v>4.9000000000000004</v>
      </c>
      <c r="AC5" s="445">
        <v>2.0099999999999998</v>
      </c>
      <c r="AD5" s="445">
        <v>28</v>
      </c>
      <c r="AE5" s="452">
        <v>25</v>
      </c>
      <c r="AF5" s="446">
        <v>242</v>
      </c>
      <c r="AG5" s="446">
        <v>235</v>
      </c>
      <c r="AH5" s="447">
        <v>133</v>
      </c>
      <c r="AI5" s="447">
        <v>135</v>
      </c>
      <c r="AJ5" s="443">
        <v>32</v>
      </c>
      <c r="AK5" s="443">
        <v>38</v>
      </c>
      <c r="AL5" s="443">
        <v>23</v>
      </c>
      <c r="AM5" s="443">
        <v>19</v>
      </c>
      <c r="AN5" s="443">
        <v>29</v>
      </c>
      <c r="AO5" s="443">
        <v>18</v>
      </c>
      <c r="AP5" s="443">
        <v>1903</v>
      </c>
      <c r="AQ5" s="443">
        <v>2031</v>
      </c>
      <c r="AR5" s="443">
        <v>8</v>
      </c>
      <c r="AS5" s="443">
        <v>10</v>
      </c>
      <c r="AT5" s="453">
        <v>0.2</v>
      </c>
      <c r="AU5" s="443">
        <v>0.21</v>
      </c>
      <c r="AV5" s="443">
        <v>41.4</v>
      </c>
      <c r="AW5" s="443">
        <v>24.4</v>
      </c>
      <c r="AX5" s="443">
        <v>18.5</v>
      </c>
      <c r="AY5" s="455">
        <v>19</v>
      </c>
      <c r="AZ5" s="443">
        <v>1</v>
      </c>
      <c r="BA5" s="443">
        <v>1</v>
      </c>
      <c r="BB5" s="443">
        <v>1.65</v>
      </c>
      <c r="BC5" s="443">
        <v>4</v>
      </c>
      <c r="BD5" s="446">
        <v>58.7</v>
      </c>
      <c r="BG5" s="258"/>
      <c r="BH5" s="254"/>
      <c r="BI5" s="257"/>
      <c r="BJ5" s="257"/>
      <c r="BK5" s="257"/>
      <c r="BL5" s="257"/>
      <c r="BM5" s="259"/>
      <c r="BN5" s="259"/>
      <c r="BO5" s="253"/>
      <c r="BP5" s="253"/>
      <c r="BQ5" s="259"/>
      <c r="BR5" s="253"/>
      <c r="BS5" s="259"/>
      <c r="BT5" s="259"/>
      <c r="BU5" s="259"/>
      <c r="BV5" s="259"/>
      <c r="BW5" s="259"/>
      <c r="BX5" s="259"/>
      <c r="BY5" s="253"/>
      <c r="BZ5" s="253"/>
      <c r="CF5" s="366"/>
      <c r="CG5" s="368"/>
      <c r="CP5" s="370"/>
      <c r="CQ5" s="370"/>
      <c r="CT5" s="379"/>
      <c r="CU5" s="378"/>
      <c r="DB5" s="369"/>
      <c r="DC5" s="369"/>
      <c r="DD5" s="369"/>
      <c r="DE5" s="369"/>
      <c r="DN5" s="375"/>
      <c r="DO5" s="376"/>
      <c r="DP5" s="372"/>
      <c r="DQ5" s="372"/>
    </row>
    <row r="6" spans="1:129" ht="16.149999999999999" customHeight="1" x14ac:dyDescent="0.35">
      <c r="A6" s="260">
        <v>25.57</v>
      </c>
      <c r="B6" s="260">
        <v>6.37</v>
      </c>
      <c r="C6" s="260">
        <v>2.5</v>
      </c>
      <c r="D6" s="443">
        <v>14.83</v>
      </c>
      <c r="E6" s="448">
        <v>84</v>
      </c>
      <c r="F6" s="449">
        <v>1.47</v>
      </c>
      <c r="G6" s="455">
        <v>50</v>
      </c>
      <c r="H6" s="443">
        <v>41</v>
      </c>
      <c r="I6" s="443">
        <v>4</v>
      </c>
      <c r="J6" s="443">
        <v>6.5</v>
      </c>
      <c r="K6" s="443">
        <v>126</v>
      </c>
      <c r="L6" s="443">
        <v>8</v>
      </c>
      <c r="M6" s="443">
        <v>41</v>
      </c>
      <c r="N6" s="443">
        <v>995</v>
      </c>
      <c r="O6" s="443">
        <v>7.8</v>
      </c>
      <c r="P6" s="444">
        <v>25.6</v>
      </c>
      <c r="Q6" s="444">
        <v>10.4</v>
      </c>
      <c r="R6" s="444">
        <v>31</v>
      </c>
      <c r="S6" s="445">
        <v>5.6</v>
      </c>
      <c r="T6" s="445">
        <v>40</v>
      </c>
      <c r="U6" s="445">
        <v>260</v>
      </c>
      <c r="V6" s="445">
        <v>42.5</v>
      </c>
      <c r="W6" s="445">
        <v>10.5</v>
      </c>
      <c r="X6" s="445">
        <v>38</v>
      </c>
      <c r="Y6" s="445">
        <v>9</v>
      </c>
      <c r="Z6" s="444">
        <v>922</v>
      </c>
      <c r="AA6" s="445">
        <v>5.41</v>
      </c>
      <c r="AB6" s="445">
        <v>4.5999999999999996</v>
      </c>
      <c r="AC6" s="445">
        <v>1.93</v>
      </c>
      <c r="AD6" s="445">
        <v>28</v>
      </c>
      <c r="AE6" s="445">
        <v>24.5</v>
      </c>
      <c r="AF6" s="446">
        <v>221</v>
      </c>
      <c r="AG6" s="446">
        <v>218</v>
      </c>
      <c r="AH6" s="447">
        <v>132</v>
      </c>
      <c r="AI6" s="447">
        <v>133</v>
      </c>
      <c r="AJ6" s="443">
        <v>32</v>
      </c>
      <c r="AK6" s="443">
        <v>40</v>
      </c>
      <c r="AL6" s="443">
        <v>16</v>
      </c>
      <c r="AM6" s="443">
        <v>23</v>
      </c>
      <c r="AN6" s="443">
        <v>20</v>
      </c>
      <c r="AO6" s="443">
        <v>19</v>
      </c>
      <c r="AP6" s="443">
        <v>1952</v>
      </c>
      <c r="AQ6" s="443">
        <v>2072</v>
      </c>
      <c r="AR6" s="443">
        <v>6</v>
      </c>
      <c r="AS6" s="443">
        <v>11</v>
      </c>
      <c r="AT6" s="453">
        <v>0.2</v>
      </c>
      <c r="AU6" s="443">
        <v>0.24</v>
      </c>
      <c r="AV6" s="455">
        <v>41</v>
      </c>
      <c r="AW6" s="443">
        <v>28.5</v>
      </c>
      <c r="AX6" s="443">
        <v>29.4</v>
      </c>
      <c r="AY6" s="443">
        <v>29.3</v>
      </c>
      <c r="AZ6" s="443">
        <v>1</v>
      </c>
      <c r="BA6" s="443">
        <v>1</v>
      </c>
      <c r="BB6" s="443">
        <v>1.59</v>
      </c>
      <c r="BC6" s="443">
        <v>4</v>
      </c>
      <c r="BD6" s="446">
        <v>59.8</v>
      </c>
      <c r="BG6" s="258"/>
      <c r="BH6" s="254"/>
      <c r="BI6" s="257"/>
      <c r="BJ6" s="257"/>
      <c r="BK6" s="257"/>
      <c r="BL6" s="257"/>
      <c r="BM6" s="259"/>
      <c r="BN6" s="259"/>
      <c r="BO6" s="253"/>
      <c r="BP6" s="253"/>
      <c r="BQ6" s="259"/>
      <c r="BR6" s="253"/>
      <c r="BS6" s="259"/>
      <c r="BT6" s="259"/>
      <c r="BU6" s="259"/>
      <c r="BV6" s="259"/>
      <c r="BW6" s="259"/>
      <c r="BX6" s="259"/>
      <c r="BY6" s="253"/>
      <c r="BZ6" s="253"/>
      <c r="CF6" s="366"/>
      <c r="CG6" s="368"/>
      <c r="CP6" s="370"/>
      <c r="CQ6" s="370"/>
      <c r="CT6" s="379"/>
      <c r="CU6" s="378"/>
      <c r="DB6" s="369"/>
      <c r="DC6" s="369"/>
      <c r="DD6" s="369"/>
      <c r="DE6" s="369"/>
      <c r="DN6" s="375"/>
      <c r="DO6" s="376"/>
      <c r="DP6" s="372"/>
      <c r="DQ6" s="372"/>
    </row>
    <row r="7" spans="1:129" ht="16.149999999999999" customHeight="1" x14ac:dyDescent="0.35">
      <c r="A7" s="260">
        <v>24.12</v>
      </c>
      <c r="B7" s="260">
        <v>6.44</v>
      </c>
      <c r="C7" s="260">
        <v>2.5</v>
      </c>
      <c r="D7" s="443">
        <v>14.95</v>
      </c>
      <c r="E7" s="448">
        <v>82</v>
      </c>
      <c r="F7" s="456">
        <v>1.1000000000000001</v>
      </c>
      <c r="G7" s="443">
        <v>49.3</v>
      </c>
      <c r="H7" s="443">
        <v>41</v>
      </c>
      <c r="I7" s="443">
        <v>8</v>
      </c>
      <c r="J7" s="443">
        <v>7.1</v>
      </c>
      <c r="K7" s="443">
        <v>143</v>
      </c>
      <c r="L7" s="443">
        <v>7</v>
      </c>
      <c r="M7" s="443">
        <v>46</v>
      </c>
      <c r="N7" s="443">
        <v>992</v>
      </c>
      <c r="O7" s="443">
        <v>1.1000000000000001</v>
      </c>
      <c r="P7" s="444">
        <v>23.9</v>
      </c>
      <c r="Q7" s="444">
        <v>10.6</v>
      </c>
      <c r="R7" s="444">
        <v>31</v>
      </c>
      <c r="S7" s="445">
        <v>6.6</v>
      </c>
      <c r="T7" s="445">
        <v>40</v>
      </c>
      <c r="U7" s="445">
        <v>235</v>
      </c>
      <c r="V7" s="445">
        <v>42.3</v>
      </c>
      <c r="W7" s="445">
        <v>10.5</v>
      </c>
      <c r="X7" s="445">
        <v>38</v>
      </c>
      <c r="Y7" s="445">
        <v>12</v>
      </c>
      <c r="Z7" s="444">
        <v>1073</v>
      </c>
      <c r="AA7" s="445">
        <v>5.34</v>
      </c>
      <c r="AB7" s="445">
        <v>3.2</v>
      </c>
      <c r="AC7" s="445">
        <v>2.0699999999999998</v>
      </c>
      <c r="AD7" s="445">
        <v>28</v>
      </c>
      <c r="AE7" s="445">
        <v>26.8</v>
      </c>
      <c r="AF7" s="446">
        <v>252</v>
      </c>
      <c r="AG7" s="446">
        <v>246</v>
      </c>
      <c r="AH7" s="447">
        <v>105</v>
      </c>
      <c r="AI7" s="447">
        <v>113</v>
      </c>
      <c r="AJ7" s="443">
        <v>35</v>
      </c>
      <c r="AK7" s="443">
        <v>53</v>
      </c>
      <c r="AL7" s="443">
        <v>21</v>
      </c>
      <c r="AM7" s="443">
        <v>17</v>
      </c>
      <c r="AN7" s="443">
        <v>22</v>
      </c>
      <c r="AO7" s="443">
        <v>24</v>
      </c>
      <c r="AP7" s="443">
        <v>1980</v>
      </c>
      <c r="AQ7" s="443">
        <v>1812</v>
      </c>
      <c r="AR7" s="443">
        <v>10</v>
      </c>
      <c r="AS7" s="443">
        <v>12</v>
      </c>
      <c r="AT7" s="443">
        <v>0.21</v>
      </c>
      <c r="AU7" s="443">
        <v>0.56000000000000005</v>
      </c>
      <c r="AV7" s="443">
        <v>43.7</v>
      </c>
      <c r="AW7" s="443">
        <v>26.8</v>
      </c>
      <c r="AX7" s="443">
        <v>33.200000000000003</v>
      </c>
      <c r="AY7" s="443">
        <v>33.5</v>
      </c>
      <c r="AZ7" s="443">
        <v>1</v>
      </c>
      <c r="BA7" s="443">
        <v>2</v>
      </c>
      <c r="BB7" s="443">
        <v>1.39</v>
      </c>
      <c r="BC7" s="443">
        <v>4</v>
      </c>
      <c r="BD7" s="451">
        <v>61</v>
      </c>
      <c r="BG7" s="258"/>
      <c r="BH7" s="254"/>
      <c r="BI7" s="257"/>
      <c r="BJ7" s="257"/>
      <c r="BK7" s="257"/>
      <c r="BL7" s="257"/>
      <c r="BM7" s="259"/>
      <c r="BN7" s="259"/>
      <c r="BO7" s="253"/>
      <c r="BP7" s="253"/>
      <c r="BQ7" s="259"/>
      <c r="BR7" s="253"/>
      <c r="BS7" s="259"/>
      <c r="BT7" s="259"/>
      <c r="BU7" s="259"/>
      <c r="BV7" s="259"/>
      <c r="BW7" s="259"/>
      <c r="BX7" s="259"/>
      <c r="BY7" s="253"/>
      <c r="BZ7" s="253"/>
      <c r="CF7" s="366"/>
      <c r="CG7" s="368"/>
      <c r="CP7" s="370"/>
      <c r="CQ7" s="370"/>
      <c r="CT7" s="379"/>
      <c r="CU7" s="378"/>
      <c r="DB7" s="369"/>
      <c r="DC7" s="369"/>
      <c r="DD7" s="369"/>
      <c r="DE7" s="369"/>
      <c r="DN7" s="375"/>
      <c r="DO7" s="376"/>
      <c r="DP7" s="372"/>
      <c r="DQ7" s="372"/>
    </row>
    <row r="8" spans="1:129" ht="16.149999999999999" customHeight="1" x14ac:dyDescent="0.35">
      <c r="A8" s="260">
        <v>25.67</v>
      </c>
      <c r="B8" s="260">
        <v>6.58</v>
      </c>
      <c r="C8" s="260">
        <v>2.5</v>
      </c>
      <c r="D8" s="443">
        <v>15.08</v>
      </c>
      <c r="E8" s="448">
        <v>79</v>
      </c>
      <c r="F8" s="449">
        <v>1.53</v>
      </c>
      <c r="G8" s="455">
        <v>50</v>
      </c>
      <c r="H8" s="443">
        <v>39</v>
      </c>
      <c r="I8" s="443">
        <v>8</v>
      </c>
      <c r="J8" s="443">
        <v>6.1</v>
      </c>
      <c r="K8" s="443">
        <v>134</v>
      </c>
      <c r="L8" s="443">
        <v>9</v>
      </c>
      <c r="M8" s="443">
        <v>32</v>
      </c>
      <c r="N8" s="443">
        <v>997</v>
      </c>
      <c r="O8" s="443">
        <v>2.7</v>
      </c>
      <c r="P8" s="444">
        <v>24.8</v>
      </c>
      <c r="Q8" s="444">
        <v>10.9</v>
      </c>
      <c r="R8" s="444">
        <v>31</v>
      </c>
      <c r="S8" s="445">
        <v>5.5</v>
      </c>
      <c r="T8" s="445">
        <v>40</v>
      </c>
      <c r="U8" s="445">
        <v>263</v>
      </c>
      <c r="V8" s="445">
        <v>43.1</v>
      </c>
      <c r="W8" s="445">
        <v>8.3000000000000007</v>
      </c>
      <c r="X8" s="445">
        <v>38</v>
      </c>
      <c r="Y8" s="445">
        <v>9</v>
      </c>
      <c r="Z8" s="444">
        <v>782</v>
      </c>
      <c r="AA8" s="445">
        <v>5.29</v>
      </c>
      <c r="AB8" s="445">
        <v>4.4000000000000004</v>
      </c>
      <c r="AC8" s="445">
        <v>2.0299999999999998</v>
      </c>
      <c r="AD8" s="445">
        <v>29</v>
      </c>
      <c r="AE8" s="445">
        <v>29.7</v>
      </c>
      <c r="AF8" s="446">
        <v>222</v>
      </c>
      <c r="AG8" s="446">
        <v>242</v>
      </c>
      <c r="AH8" s="447">
        <v>101</v>
      </c>
      <c r="AI8" s="447">
        <v>109</v>
      </c>
      <c r="AJ8" s="443">
        <v>31</v>
      </c>
      <c r="AK8" s="443">
        <v>39</v>
      </c>
      <c r="AL8" s="443">
        <v>18</v>
      </c>
      <c r="AM8" s="443">
        <v>28</v>
      </c>
      <c r="AN8" s="443">
        <v>16</v>
      </c>
      <c r="AO8" s="443">
        <v>22</v>
      </c>
      <c r="AP8" s="443">
        <v>2089</v>
      </c>
      <c r="AQ8" s="443">
        <v>1942</v>
      </c>
      <c r="AR8" s="443">
        <v>10</v>
      </c>
      <c r="AS8" s="443">
        <v>12</v>
      </c>
      <c r="AT8" s="443">
        <v>0.23</v>
      </c>
      <c r="AV8" s="443">
        <v>24.1</v>
      </c>
      <c r="AW8" s="443">
        <v>25.5</v>
      </c>
      <c r="AX8" s="443">
        <v>16.3</v>
      </c>
      <c r="AY8" s="443">
        <v>16.2</v>
      </c>
      <c r="AZ8" s="443">
        <v>1</v>
      </c>
      <c r="BA8" s="443">
        <v>2</v>
      </c>
      <c r="BB8" s="443">
        <v>1.49</v>
      </c>
      <c r="BC8" s="443">
        <v>5</v>
      </c>
      <c r="BD8" s="451">
        <v>61</v>
      </c>
      <c r="BG8" s="258"/>
      <c r="BH8" s="254"/>
      <c r="BI8" s="257"/>
      <c r="BJ8" s="257"/>
      <c r="BK8" s="257"/>
      <c r="BL8" s="257"/>
      <c r="BM8" s="259"/>
      <c r="BN8" s="259"/>
      <c r="BO8" s="253"/>
      <c r="BP8" s="253"/>
      <c r="BQ8" s="259"/>
      <c r="BR8" s="253"/>
      <c r="BS8" s="259"/>
      <c r="BT8" s="259"/>
      <c r="BU8" s="259"/>
      <c r="BV8" s="259"/>
      <c r="BW8" s="259"/>
      <c r="BX8" s="259"/>
      <c r="BY8" s="253"/>
      <c r="BZ8" s="253"/>
      <c r="CF8" s="366"/>
      <c r="CG8" s="368"/>
      <c r="CP8" s="370"/>
      <c r="CQ8" s="370"/>
      <c r="CT8" s="379"/>
      <c r="CU8" s="378"/>
      <c r="DB8" s="369"/>
      <c r="DC8" s="369"/>
      <c r="DD8" s="369"/>
      <c r="DE8" s="369"/>
      <c r="DN8" s="375"/>
      <c r="DO8" s="376"/>
      <c r="DP8" s="372"/>
      <c r="DQ8" s="372"/>
    </row>
    <row r="9" spans="1:129" ht="16.149999999999999" customHeight="1" x14ac:dyDescent="0.35">
      <c r="A9" s="260">
        <v>23.16</v>
      </c>
      <c r="B9" s="260">
        <v>6.64</v>
      </c>
      <c r="C9" s="260">
        <v>2.5</v>
      </c>
      <c r="D9" s="443">
        <v>15.02</v>
      </c>
      <c r="E9" s="448">
        <v>84</v>
      </c>
      <c r="F9" s="449">
        <v>1.22</v>
      </c>
      <c r="G9" s="443">
        <v>50.9</v>
      </c>
      <c r="H9" s="443">
        <v>43</v>
      </c>
      <c r="I9" s="443">
        <v>6</v>
      </c>
      <c r="J9" s="443">
        <v>5.8</v>
      </c>
      <c r="K9" s="443">
        <v>129</v>
      </c>
      <c r="L9" s="443">
        <v>15</v>
      </c>
      <c r="M9" s="443">
        <v>36</v>
      </c>
      <c r="N9" s="443">
        <v>996</v>
      </c>
      <c r="O9" s="443">
        <v>0.1</v>
      </c>
      <c r="P9" s="444">
        <v>26.4</v>
      </c>
      <c r="Q9" s="450">
        <v>11</v>
      </c>
      <c r="R9" s="444">
        <v>31</v>
      </c>
      <c r="S9" s="445">
        <v>6.4</v>
      </c>
      <c r="T9" s="445">
        <v>40</v>
      </c>
      <c r="U9" s="445">
        <v>259</v>
      </c>
      <c r="V9" s="445">
        <v>42.8</v>
      </c>
      <c r="W9" s="445">
        <v>11.2</v>
      </c>
      <c r="X9" s="445">
        <v>38</v>
      </c>
      <c r="Y9" s="445">
        <v>10</v>
      </c>
      <c r="Z9" s="444">
        <v>1060</v>
      </c>
      <c r="AA9" s="445">
        <v>5.43</v>
      </c>
      <c r="AB9" s="445">
        <v>5.0999999999999996</v>
      </c>
      <c r="AC9" s="445">
        <v>2.0299999999999998</v>
      </c>
      <c r="AD9" s="445">
        <v>29</v>
      </c>
      <c r="AE9" s="445">
        <v>26.5</v>
      </c>
      <c r="AF9" s="446">
        <v>217</v>
      </c>
      <c r="AG9" s="446">
        <v>240</v>
      </c>
      <c r="AH9" s="447">
        <v>110</v>
      </c>
      <c r="AI9" s="447">
        <v>115</v>
      </c>
      <c r="AJ9" s="443">
        <v>33</v>
      </c>
      <c r="AK9" s="443">
        <v>39</v>
      </c>
      <c r="AL9" s="443">
        <v>16</v>
      </c>
      <c r="AM9" s="443">
        <v>26</v>
      </c>
      <c r="AN9" s="443">
        <v>23</v>
      </c>
      <c r="AO9" s="443">
        <v>22</v>
      </c>
      <c r="AP9" s="443">
        <v>1915</v>
      </c>
      <c r="AQ9" s="443">
        <v>2074</v>
      </c>
      <c r="AR9" s="443">
        <v>8</v>
      </c>
      <c r="AS9" s="443">
        <v>9</v>
      </c>
      <c r="AT9" s="443">
        <v>0.26</v>
      </c>
      <c r="AV9" s="443">
        <v>33.799999999999997</v>
      </c>
      <c r="AW9" s="443">
        <v>22.6</v>
      </c>
      <c r="AX9" s="443">
        <v>18.5</v>
      </c>
      <c r="AY9" s="443">
        <v>18.899999999999999</v>
      </c>
      <c r="AZ9" s="443">
        <v>1</v>
      </c>
      <c r="BA9" s="443">
        <v>2</v>
      </c>
      <c r="BB9" s="443">
        <v>1.48</v>
      </c>
      <c r="BC9" s="443">
        <v>5</v>
      </c>
      <c r="BD9" s="446">
        <v>61.6</v>
      </c>
      <c r="BG9" s="258"/>
      <c r="BH9" s="254"/>
      <c r="BI9" s="257"/>
      <c r="BJ9" s="257"/>
      <c r="BK9" s="257"/>
      <c r="BL9" s="257"/>
      <c r="BM9" s="259"/>
      <c r="BN9" s="259"/>
      <c r="BO9" s="253"/>
      <c r="BP9" s="253"/>
      <c r="BQ9" s="259"/>
      <c r="BR9" s="253"/>
      <c r="BS9" s="259"/>
      <c r="BT9" s="259"/>
      <c r="BU9" s="259"/>
      <c r="BV9" s="259"/>
      <c r="BW9" s="259"/>
      <c r="BX9" s="259"/>
      <c r="BY9" s="253"/>
      <c r="BZ9" s="253"/>
      <c r="CF9" s="366"/>
      <c r="CG9" s="368"/>
      <c r="CP9" s="370"/>
      <c r="CQ9" s="370"/>
      <c r="CT9" s="379"/>
      <c r="CU9" s="378"/>
      <c r="DB9" s="369"/>
      <c r="DC9" s="369"/>
      <c r="DD9" s="369"/>
      <c r="DE9" s="369"/>
      <c r="DN9" s="375"/>
      <c r="DO9" s="376"/>
      <c r="DP9" s="372"/>
      <c r="DQ9" s="372"/>
    </row>
    <row r="10" spans="1:129" ht="16.149999999999999" customHeight="1" x14ac:dyDescent="0.35">
      <c r="A10" s="260">
        <v>23.44</v>
      </c>
      <c r="B10" s="260">
        <v>6.57</v>
      </c>
      <c r="C10" s="260">
        <v>7.5</v>
      </c>
      <c r="D10" s="443">
        <v>15.07</v>
      </c>
      <c r="E10" s="448">
        <v>80</v>
      </c>
      <c r="F10" s="449">
        <v>1.34</v>
      </c>
      <c r="G10" s="443">
        <v>50.4</v>
      </c>
      <c r="H10" s="443">
        <v>45</v>
      </c>
      <c r="I10" s="443">
        <v>7</v>
      </c>
      <c r="J10" s="443">
        <v>5.5</v>
      </c>
      <c r="K10" s="443">
        <v>151</v>
      </c>
      <c r="L10" s="443">
        <v>10</v>
      </c>
      <c r="M10" s="443">
        <v>25</v>
      </c>
      <c r="N10" s="443">
        <v>998</v>
      </c>
      <c r="O10" s="443">
        <v>2.7</v>
      </c>
      <c r="P10" s="450">
        <v>27</v>
      </c>
      <c r="Q10" s="444">
        <v>10.3</v>
      </c>
      <c r="R10" s="444">
        <v>32</v>
      </c>
      <c r="S10" s="445">
        <v>5.5</v>
      </c>
      <c r="T10" s="445">
        <v>41</v>
      </c>
      <c r="U10" s="445">
        <v>234</v>
      </c>
      <c r="V10" s="445">
        <v>43.8</v>
      </c>
      <c r="W10" s="445">
        <v>13.7</v>
      </c>
      <c r="X10" s="445">
        <v>38</v>
      </c>
      <c r="Y10" s="445">
        <v>8</v>
      </c>
      <c r="Z10" s="444">
        <v>1091</v>
      </c>
      <c r="AA10" s="445">
        <v>5.42</v>
      </c>
      <c r="AB10" s="445">
        <v>4.8</v>
      </c>
      <c r="AC10" s="445">
        <v>1.98</v>
      </c>
      <c r="AD10" s="445">
        <v>29</v>
      </c>
      <c r="AF10" s="446">
        <v>241</v>
      </c>
      <c r="AG10" s="446">
        <v>254</v>
      </c>
      <c r="AH10" s="447">
        <v>140</v>
      </c>
      <c r="AI10" s="447">
        <v>142</v>
      </c>
      <c r="AK10" s="443">
        <v>42</v>
      </c>
      <c r="AL10" s="443">
        <v>27</v>
      </c>
      <c r="AM10" s="443">
        <v>25</v>
      </c>
      <c r="AN10" s="443">
        <v>20</v>
      </c>
      <c r="AO10" s="443">
        <v>17</v>
      </c>
      <c r="AP10" s="443">
        <v>2389</v>
      </c>
      <c r="AQ10" s="443">
        <v>2132</v>
      </c>
      <c r="AR10" s="443">
        <v>12</v>
      </c>
      <c r="AS10" s="443">
        <v>14</v>
      </c>
      <c r="AT10" s="443">
        <v>0.28999999999999998</v>
      </c>
      <c r="AV10" s="443">
        <v>40.5</v>
      </c>
      <c r="AW10" s="443">
        <v>26.1</v>
      </c>
      <c r="AX10" s="443">
        <v>35.4</v>
      </c>
      <c r="AY10" s="455">
        <v>36</v>
      </c>
      <c r="AZ10" s="443">
        <v>2</v>
      </c>
      <c r="BA10" s="443">
        <v>2</v>
      </c>
      <c r="BB10" s="443">
        <v>1.69</v>
      </c>
      <c r="BC10" s="443">
        <v>5</v>
      </c>
      <c r="BD10" s="446">
        <v>62.1</v>
      </c>
      <c r="BG10" s="254"/>
      <c r="BH10" s="254"/>
      <c r="BI10" s="257"/>
      <c r="BJ10" s="257"/>
      <c r="BK10" s="257"/>
      <c r="BL10" s="257"/>
      <c r="BM10" s="259"/>
      <c r="BN10" s="259"/>
      <c r="BO10" s="253"/>
      <c r="BP10" s="253"/>
      <c r="BQ10" s="259"/>
      <c r="BR10" s="253"/>
      <c r="BS10" s="259"/>
      <c r="BT10" s="259"/>
      <c r="BU10" s="259"/>
      <c r="BV10" s="259"/>
      <c r="BW10" s="254"/>
      <c r="BX10" s="254"/>
      <c r="BY10" s="253"/>
      <c r="BZ10" s="253"/>
      <c r="CF10" s="366"/>
      <c r="CG10" s="368"/>
      <c r="CP10" s="370"/>
      <c r="CQ10" s="370"/>
      <c r="CT10" s="379"/>
      <c r="CU10" s="378"/>
      <c r="DB10" s="369"/>
      <c r="DC10" s="369"/>
      <c r="DD10" s="369"/>
      <c r="DE10" s="369"/>
      <c r="DN10" s="375"/>
      <c r="DO10" s="376"/>
      <c r="DP10" s="372"/>
      <c r="DQ10" s="372"/>
    </row>
    <row r="11" spans="1:129" ht="16.149999999999999" customHeight="1" x14ac:dyDescent="0.35">
      <c r="A11" s="260">
        <v>24.84</v>
      </c>
      <c r="B11" s="260">
        <v>6.65</v>
      </c>
      <c r="C11" s="260">
        <v>7.5</v>
      </c>
      <c r="D11" s="443">
        <v>14.98</v>
      </c>
      <c r="E11" s="448">
        <v>81</v>
      </c>
      <c r="F11" s="449">
        <v>1.24</v>
      </c>
      <c r="G11" s="455">
        <v>50</v>
      </c>
      <c r="H11" s="443">
        <v>41</v>
      </c>
      <c r="I11" s="443">
        <v>6</v>
      </c>
      <c r="J11" s="443">
        <v>6.9</v>
      </c>
      <c r="K11" s="443">
        <v>143</v>
      </c>
      <c r="L11" s="443">
        <v>14</v>
      </c>
      <c r="M11" s="443">
        <v>42</v>
      </c>
      <c r="N11" s="443">
        <v>993</v>
      </c>
      <c r="O11" s="443">
        <v>1.4</v>
      </c>
      <c r="P11" s="444">
        <v>25.4</v>
      </c>
      <c r="Q11" s="444">
        <v>10.8</v>
      </c>
      <c r="R11" s="444">
        <v>32</v>
      </c>
      <c r="S11" s="445">
        <v>6.5</v>
      </c>
      <c r="T11" s="445">
        <v>41</v>
      </c>
      <c r="U11" s="445">
        <v>258</v>
      </c>
      <c r="V11" s="445">
        <v>43.4</v>
      </c>
      <c r="W11" s="445">
        <v>10.6</v>
      </c>
      <c r="X11" s="445">
        <v>38</v>
      </c>
      <c r="Y11" s="445">
        <v>13</v>
      </c>
      <c r="Z11" s="444">
        <v>945</v>
      </c>
      <c r="AA11" s="445">
        <v>5.32</v>
      </c>
      <c r="AB11" s="452">
        <v>4</v>
      </c>
      <c r="AC11" s="445">
        <v>1.96</v>
      </c>
      <c r="AD11" s="445">
        <v>29</v>
      </c>
      <c r="AF11" s="446">
        <v>230</v>
      </c>
      <c r="AG11" s="446">
        <v>221</v>
      </c>
      <c r="AK11" s="443">
        <v>39</v>
      </c>
      <c r="AL11" s="443">
        <v>24</v>
      </c>
      <c r="AM11" s="443">
        <v>28</v>
      </c>
      <c r="AN11" s="443">
        <v>21</v>
      </c>
      <c r="AO11" s="443">
        <v>25</v>
      </c>
      <c r="AP11" s="443">
        <v>2163</v>
      </c>
      <c r="AR11" s="443">
        <v>7</v>
      </c>
      <c r="AS11" s="443">
        <v>8</v>
      </c>
      <c r="AV11" s="443">
        <v>29.6</v>
      </c>
      <c r="AW11" s="443">
        <v>19.2</v>
      </c>
      <c r="AX11" s="443">
        <v>29.5</v>
      </c>
      <c r="AY11" s="443">
        <v>29.8</v>
      </c>
      <c r="AZ11" s="443">
        <v>2</v>
      </c>
      <c r="BA11" s="443">
        <v>2</v>
      </c>
      <c r="BB11" s="443">
        <v>1.32</v>
      </c>
      <c r="BC11" s="443">
        <v>5</v>
      </c>
      <c r="BD11" s="446">
        <v>62.2</v>
      </c>
      <c r="BG11" s="254"/>
      <c r="BH11" s="254"/>
      <c r="BI11" s="257"/>
      <c r="BJ11" s="257"/>
      <c r="BK11" s="257"/>
      <c r="BL11" s="257"/>
      <c r="BM11" s="259"/>
      <c r="BN11" s="259"/>
      <c r="BO11" s="253"/>
      <c r="BP11" s="253"/>
      <c r="BQ11" s="259"/>
      <c r="BR11" s="253"/>
      <c r="BS11" s="259"/>
      <c r="BT11" s="259"/>
      <c r="BU11" s="259"/>
      <c r="BV11" s="259"/>
      <c r="BW11" s="254"/>
      <c r="BX11" s="254"/>
      <c r="BY11" s="253"/>
      <c r="BZ11" s="253"/>
      <c r="CF11" s="366"/>
      <c r="CG11" s="368"/>
      <c r="DB11" s="369"/>
      <c r="DC11" s="369"/>
      <c r="DD11" s="369"/>
      <c r="DE11" s="369"/>
      <c r="DN11" s="375"/>
      <c r="DO11" s="376"/>
      <c r="DP11" s="372"/>
      <c r="DQ11" s="372"/>
    </row>
    <row r="12" spans="1:129" ht="16.149999999999999" customHeight="1" x14ac:dyDescent="0.35">
      <c r="A12" s="260">
        <v>27.33</v>
      </c>
      <c r="B12" s="260">
        <v>6.72</v>
      </c>
      <c r="C12" s="260">
        <v>7.5</v>
      </c>
      <c r="D12" s="443">
        <v>15.15</v>
      </c>
      <c r="E12" s="448">
        <v>82</v>
      </c>
      <c r="F12" s="449">
        <v>1.54</v>
      </c>
      <c r="G12" s="443">
        <v>49.7</v>
      </c>
      <c r="H12" s="443">
        <v>42</v>
      </c>
      <c r="I12" s="443">
        <v>6</v>
      </c>
      <c r="J12" s="443">
        <v>6.6</v>
      </c>
      <c r="K12" s="443">
        <v>138</v>
      </c>
      <c r="L12" s="443">
        <v>8</v>
      </c>
      <c r="M12" s="443">
        <v>40</v>
      </c>
      <c r="N12" s="443">
        <v>996</v>
      </c>
      <c r="O12" s="443">
        <v>5.6</v>
      </c>
      <c r="P12" s="444"/>
      <c r="Q12" s="444">
        <v>10.6</v>
      </c>
      <c r="R12" s="444">
        <v>32</v>
      </c>
      <c r="S12" s="445">
        <v>6.3</v>
      </c>
      <c r="T12" s="445">
        <v>41</v>
      </c>
      <c r="U12" s="445">
        <v>253</v>
      </c>
      <c r="V12" s="445">
        <v>41.1</v>
      </c>
      <c r="W12" s="445">
        <v>12.8</v>
      </c>
      <c r="X12" s="445">
        <v>38</v>
      </c>
      <c r="Y12" s="445">
        <v>12</v>
      </c>
      <c r="Z12" s="444">
        <v>1073</v>
      </c>
      <c r="AB12" s="445">
        <v>3.7</v>
      </c>
      <c r="AC12" s="445">
        <v>2.0299999999999998</v>
      </c>
      <c r="AD12" s="445">
        <v>29</v>
      </c>
      <c r="AF12" s="446">
        <v>205</v>
      </c>
      <c r="AG12" s="446">
        <v>245</v>
      </c>
      <c r="AK12" s="443">
        <v>48</v>
      </c>
      <c r="AP12" s="443">
        <v>2072</v>
      </c>
      <c r="AR12" s="443">
        <v>10</v>
      </c>
      <c r="AS12" s="443">
        <v>10</v>
      </c>
      <c r="AV12" s="443">
        <v>31.5</v>
      </c>
      <c r="AW12" s="443">
        <v>24.6</v>
      </c>
      <c r="AX12" s="443">
        <v>19.2</v>
      </c>
      <c r="AY12" s="443">
        <v>18.899999999999999</v>
      </c>
      <c r="AZ12" s="443">
        <v>2</v>
      </c>
      <c r="BA12" s="443">
        <v>2</v>
      </c>
      <c r="BC12" s="443">
        <v>5</v>
      </c>
      <c r="BD12" s="446">
        <v>62.6</v>
      </c>
      <c r="BG12" s="254"/>
      <c r="BH12" s="254"/>
      <c r="BI12" s="257"/>
      <c r="BJ12" s="254"/>
      <c r="BK12" s="257"/>
      <c r="BL12" s="257"/>
      <c r="BM12" s="254"/>
      <c r="BN12" s="254"/>
      <c r="BO12" s="254"/>
      <c r="BP12" s="254"/>
      <c r="BQ12" s="259"/>
      <c r="BR12" s="253"/>
      <c r="BS12" s="259"/>
      <c r="BT12" s="259"/>
      <c r="BU12" s="254"/>
      <c r="BV12" s="254"/>
      <c r="BW12" s="254"/>
      <c r="BX12" s="254"/>
      <c r="BY12" s="254"/>
      <c r="BZ12" s="254"/>
      <c r="CF12" s="366"/>
      <c r="CG12" s="368"/>
      <c r="DB12" s="369"/>
      <c r="DC12" s="369"/>
      <c r="DD12" s="369"/>
      <c r="DE12" s="369"/>
      <c r="DO12" s="376"/>
      <c r="DP12" s="372"/>
      <c r="DQ12" s="372"/>
    </row>
    <row r="13" spans="1:129" ht="16.149999999999999" customHeight="1" x14ac:dyDescent="0.35">
      <c r="A13" s="260">
        <v>27.34</v>
      </c>
      <c r="B13" s="260">
        <v>6.6</v>
      </c>
      <c r="C13" s="260">
        <v>7.5</v>
      </c>
      <c r="D13" s="443">
        <v>15.49</v>
      </c>
      <c r="E13" s="448">
        <v>82</v>
      </c>
      <c r="F13" s="449">
        <v>1.31</v>
      </c>
      <c r="G13" s="443">
        <v>50.6</v>
      </c>
      <c r="H13" s="443">
        <v>43</v>
      </c>
      <c r="I13" s="443">
        <v>7</v>
      </c>
      <c r="J13" s="443">
        <v>6.2</v>
      </c>
      <c r="K13" s="443">
        <v>116</v>
      </c>
      <c r="L13" s="443">
        <v>10</v>
      </c>
      <c r="M13" s="443">
        <v>41</v>
      </c>
      <c r="N13" s="443">
        <v>994</v>
      </c>
      <c r="O13" s="443">
        <v>2.9</v>
      </c>
      <c r="P13" s="444"/>
      <c r="Q13" s="444">
        <v>11.3</v>
      </c>
      <c r="R13" s="444">
        <v>32</v>
      </c>
      <c r="S13" s="445">
        <v>6.2</v>
      </c>
      <c r="T13" s="445">
        <v>41</v>
      </c>
      <c r="U13" s="445">
        <v>265</v>
      </c>
      <c r="V13" s="445">
        <v>41.7</v>
      </c>
      <c r="W13" s="445">
        <v>10.6</v>
      </c>
      <c r="X13" s="445">
        <v>38</v>
      </c>
      <c r="Y13" s="445">
        <v>14</v>
      </c>
      <c r="Z13" s="444">
        <v>1074</v>
      </c>
      <c r="AB13" s="445">
        <v>4.4000000000000004</v>
      </c>
      <c r="AC13" s="454">
        <v>2</v>
      </c>
      <c r="AD13" s="445">
        <v>29</v>
      </c>
      <c r="AF13" s="446">
        <v>245</v>
      </c>
      <c r="AG13" s="446">
        <v>231</v>
      </c>
      <c r="AP13" s="443">
        <v>1712</v>
      </c>
      <c r="AR13" s="443">
        <v>6</v>
      </c>
      <c r="AS13" s="443">
        <v>8</v>
      </c>
      <c r="AV13" s="443">
        <v>26.5</v>
      </c>
      <c r="AX13" s="443">
        <v>26.2</v>
      </c>
      <c r="AY13" s="455">
        <v>26</v>
      </c>
      <c r="AZ13" s="443">
        <v>2</v>
      </c>
      <c r="BA13" s="443">
        <v>2</v>
      </c>
      <c r="BC13" s="443">
        <v>5</v>
      </c>
      <c r="BD13" s="446">
        <v>65.5</v>
      </c>
      <c r="BG13" s="254"/>
      <c r="BH13" s="254"/>
      <c r="BI13" s="257"/>
      <c r="BJ13" s="254"/>
      <c r="BK13" s="257"/>
      <c r="BL13" s="257"/>
      <c r="BM13" s="254"/>
      <c r="BN13" s="254"/>
      <c r="BO13" s="254"/>
      <c r="BP13" s="254"/>
      <c r="BQ13" s="259"/>
      <c r="BR13" s="253"/>
      <c r="BS13" s="259"/>
      <c r="BT13" s="259"/>
      <c r="BU13" s="254"/>
      <c r="BV13" s="254"/>
      <c r="BW13" s="254"/>
      <c r="BX13" s="254"/>
      <c r="BY13" s="254"/>
      <c r="BZ13" s="254"/>
      <c r="CF13" s="366"/>
      <c r="CG13" s="368"/>
      <c r="DB13" s="369"/>
      <c r="DD13" s="369"/>
      <c r="DE13" s="369"/>
      <c r="DO13" s="376"/>
      <c r="DP13" s="372"/>
      <c r="DQ13" s="372"/>
    </row>
    <row r="14" spans="1:129" ht="16.149999999999999" customHeight="1" x14ac:dyDescent="0.35">
      <c r="A14" s="260">
        <v>25.11</v>
      </c>
      <c r="B14" s="260">
        <v>6.74</v>
      </c>
      <c r="C14" s="260">
        <v>7.5</v>
      </c>
      <c r="D14" s="443">
        <v>14.83</v>
      </c>
      <c r="E14" s="448">
        <v>80</v>
      </c>
      <c r="F14" s="449">
        <v>1.27</v>
      </c>
      <c r="G14" s="443">
        <v>50.2</v>
      </c>
      <c r="H14" s="443">
        <v>41</v>
      </c>
      <c r="I14" s="443">
        <v>5</v>
      </c>
      <c r="J14" s="443">
        <v>5.3</v>
      </c>
      <c r="K14" s="443">
        <v>122</v>
      </c>
      <c r="L14" s="443">
        <v>8</v>
      </c>
      <c r="M14" s="443">
        <v>37</v>
      </c>
      <c r="N14" s="443">
        <v>995</v>
      </c>
      <c r="O14" s="443">
        <v>5.5</v>
      </c>
      <c r="P14" s="444"/>
      <c r="Q14" s="444">
        <v>10.5</v>
      </c>
      <c r="R14" s="444">
        <v>32</v>
      </c>
      <c r="S14" s="445">
        <v>6.3</v>
      </c>
      <c r="T14" s="445">
        <v>41</v>
      </c>
      <c r="U14" s="445">
        <v>234</v>
      </c>
      <c r="V14" s="445">
        <v>41.3</v>
      </c>
      <c r="X14" s="445">
        <v>38</v>
      </c>
      <c r="Y14" s="445">
        <v>15</v>
      </c>
      <c r="Z14" s="444">
        <v>995</v>
      </c>
      <c r="AB14" s="445">
        <v>3.9</v>
      </c>
      <c r="AC14" s="454">
        <v>2.1</v>
      </c>
      <c r="AD14" s="445">
        <v>29</v>
      </c>
      <c r="AF14" s="446">
        <v>214</v>
      </c>
      <c r="AG14" s="446">
        <v>258</v>
      </c>
      <c r="AP14" s="443">
        <v>2018</v>
      </c>
      <c r="AR14" s="443">
        <v>14</v>
      </c>
      <c r="AS14" s="443">
        <v>15</v>
      </c>
      <c r="AX14" s="443">
        <v>18.399999999999999</v>
      </c>
      <c r="AY14" s="443">
        <v>18.5</v>
      </c>
      <c r="AZ14" s="443">
        <v>2</v>
      </c>
      <c r="BA14" s="443">
        <v>2</v>
      </c>
      <c r="BC14" s="443">
        <v>6</v>
      </c>
      <c r="BD14" s="446">
        <v>68.3</v>
      </c>
      <c r="BG14" s="254"/>
      <c r="BH14" s="254"/>
      <c r="BI14" s="257"/>
      <c r="BJ14" s="254"/>
      <c r="BK14" s="257"/>
      <c r="BL14" s="257"/>
      <c r="BM14" s="254"/>
      <c r="BN14" s="254"/>
      <c r="BO14" s="254"/>
      <c r="BP14" s="254"/>
      <c r="BQ14" s="259"/>
      <c r="BR14" s="253"/>
      <c r="BS14" s="259"/>
      <c r="BT14" s="259"/>
      <c r="BU14" s="254"/>
      <c r="BV14" s="254"/>
      <c r="BW14" s="254"/>
      <c r="BX14" s="254"/>
      <c r="BY14" s="254"/>
      <c r="BZ14" s="254"/>
      <c r="CF14" s="366"/>
      <c r="CG14" s="368"/>
      <c r="DD14" s="369"/>
      <c r="DE14" s="369"/>
      <c r="DO14" s="376"/>
      <c r="DP14" s="372"/>
      <c r="DQ14" s="372"/>
    </row>
    <row r="15" spans="1:129" ht="16.149999999999999" customHeight="1" x14ac:dyDescent="0.35">
      <c r="A15" s="260">
        <v>22.95</v>
      </c>
      <c r="B15" s="260">
        <v>6.74</v>
      </c>
      <c r="C15" s="260">
        <v>7.5</v>
      </c>
      <c r="D15" s="443">
        <v>14.95</v>
      </c>
      <c r="E15" s="448">
        <v>82</v>
      </c>
      <c r="F15" s="449">
        <v>1.1599999999999999</v>
      </c>
      <c r="G15" s="443">
        <v>49.9</v>
      </c>
      <c r="H15" s="443">
        <v>41</v>
      </c>
      <c r="I15" s="443">
        <v>10</v>
      </c>
      <c r="J15" s="443">
        <v>5.9</v>
      </c>
      <c r="K15" s="443">
        <v>142</v>
      </c>
      <c r="L15" s="443">
        <v>12</v>
      </c>
      <c r="M15" s="443">
        <v>39</v>
      </c>
      <c r="N15" s="443">
        <v>994</v>
      </c>
      <c r="O15" s="443">
        <v>0.8</v>
      </c>
      <c r="P15" s="444"/>
      <c r="Q15" s="444">
        <v>10.7</v>
      </c>
      <c r="R15" s="444">
        <v>32</v>
      </c>
      <c r="S15" s="445">
        <v>5.9</v>
      </c>
      <c r="T15" s="445">
        <v>41</v>
      </c>
      <c r="U15" s="445">
        <v>245</v>
      </c>
      <c r="V15" s="445">
        <v>44.1</v>
      </c>
      <c r="X15" s="445">
        <v>38</v>
      </c>
      <c r="Y15" s="445">
        <v>6</v>
      </c>
      <c r="Z15" s="444">
        <v>962</v>
      </c>
      <c r="AB15" s="445">
        <v>4.0999999999999996</v>
      </c>
      <c r="AC15" s="445">
        <v>1.99</v>
      </c>
      <c r="AD15" s="445">
        <v>34</v>
      </c>
      <c r="AF15" s="446">
        <v>240</v>
      </c>
      <c r="AG15" s="446">
        <v>245</v>
      </c>
      <c r="AP15" s="443">
        <v>1792</v>
      </c>
      <c r="AR15" s="443">
        <v>7</v>
      </c>
      <c r="AS15" s="443">
        <v>10</v>
      </c>
      <c r="AX15" s="443">
        <v>28.6</v>
      </c>
      <c r="AY15" s="455">
        <v>29</v>
      </c>
      <c r="AZ15" s="443">
        <v>2</v>
      </c>
      <c r="BA15" s="443">
        <v>2</v>
      </c>
      <c r="BC15" s="443">
        <v>6</v>
      </c>
      <c r="BD15" s="446">
        <v>69.099999999999994</v>
      </c>
      <c r="BG15" s="254"/>
      <c r="BH15" s="254"/>
      <c r="BI15" s="254"/>
      <c r="BJ15" s="254"/>
      <c r="BK15" s="254"/>
      <c r="BL15" s="254"/>
      <c r="BM15" s="254"/>
      <c r="BN15" s="254"/>
      <c r="BO15" s="254"/>
      <c r="BP15" s="254"/>
      <c r="BQ15" s="259"/>
      <c r="BR15" s="253"/>
      <c r="BS15" s="259"/>
      <c r="BT15" s="259"/>
      <c r="BU15" s="254"/>
      <c r="BV15" s="254"/>
      <c r="BW15" s="254"/>
      <c r="BX15" s="254"/>
      <c r="BY15" s="254"/>
      <c r="BZ15" s="254"/>
      <c r="CF15" s="366"/>
      <c r="CG15" s="368"/>
      <c r="DD15" s="369"/>
      <c r="DE15" s="369"/>
      <c r="DO15" s="376"/>
      <c r="DP15" s="372"/>
      <c r="DQ15" s="372"/>
    </row>
    <row r="16" spans="1:129" ht="16.149999999999999" customHeight="1" x14ac:dyDescent="0.35">
      <c r="A16" s="260">
        <v>25.44</v>
      </c>
      <c r="B16" s="260">
        <v>6.76</v>
      </c>
      <c r="C16" s="260">
        <v>7.5</v>
      </c>
      <c r="D16" s="443">
        <v>14.78</v>
      </c>
      <c r="E16" s="448">
        <v>80</v>
      </c>
      <c r="F16" s="449">
        <v>1.45</v>
      </c>
      <c r="G16" s="443">
        <v>50.1</v>
      </c>
      <c r="H16" s="443">
        <v>43</v>
      </c>
      <c r="I16" s="443">
        <v>6</v>
      </c>
      <c r="J16" s="455">
        <v>6</v>
      </c>
      <c r="K16" s="443">
        <v>115</v>
      </c>
      <c r="L16" s="443">
        <v>9</v>
      </c>
      <c r="M16" s="443">
        <v>40</v>
      </c>
      <c r="N16" s="443">
        <v>995</v>
      </c>
      <c r="O16" s="443">
        <v>0.4</v>
      </c>
      <c r="P16" s="444"/>
      <c r="Q16" s="444">
        <v>10.8</v>
      </c>
      <c r="R16" s="444">
        <v>32</v>
      </c>
      <c r="S16" s="445">
        <v>5.8</v>
      </c>
      <c r="T16" s="445">
        <v>41</v>
      </c>
      <c r="U16" s="445">
        <v>237</v>
      </c>
      <c r="V16" s="445">
        <v>42.3</v>
      </c>
      <c r="X16" s="445">
        <v>38</v>
      </c>
      <c r="Y16" s="445">
        <v>9</v>
      </c>
      <c r="Z16" s="444">
        <v>938</v>
      </c>
      <c r="AB16" s="445">
        <v>4.2</v>
      </c>
      <c r="AC16" s="445">
        <v>2.02</v>
      </c>
      <c r="AD16" s="445">
        <v>34</v>
      </c>
      <c r="AF16" s="446">
        <v>218</v>
      </c>
      <c r="AG16" s="446">
        <v>225</v>
      </c>
      <c r="AP16" s="443">
        <v>1849</v>
      </c>
      <c r="AR16" s="443">
        <v>8</v>
      </c>
      <c r="AS16" s="443">
        <v>10</v>
      </c>
      <c r="AX16" s="443">
        <v>17.5</v>
      </c>
      <c r="AY16" s="455">
        <v>18</v>
      </c>
      <c r="AZ16" s="443">
        <v>2</v>
      </c>
      <c r="BA16" s="443">
        <v>2</v>
      </c>
      <c r="BC16" s="443">
        <v>6</v>
      </c>
      <c r="BD16" s="446">
        <v>70.7</v>
      </c>
      <c r="BG16" s="254"/>
      <c r="BH16" s="254"/>
      <c r="BI16" s="254"/>
      <c r="BJ16" s="254"/>
      <c r="BK16" s="254"/>
      <c r="BL16" s="254"/>
      <c r="BM16" s="254"/>
      <c r="BN16" s="254"/>
      <c r="BO16" s="254"/>
      <c r="BP16" s="254"/>
      <c r="BQ16" s="259"/>
      <c r="BR16" s="253"/>
      <c r="BS16" s="259"/>
      <c r="BT16" s="259"/>
      <c r="BU16" s="254"/>
      <c r="BV16" s="254"/>
      <c r="BW16" s="254"/>
      <c r="BX16" s="254"/>
      <c r="BY16" s="254"/>
      <c r="BZ16" s="254"/>
      <c r="CF16" s="366"/>
      <c r="CG16" s="368"/>
      <c r="DD16" s="369"/>
      <c r="DE16" s="369"/>
      <c r="DO16" s="376"/>
      <c r="DP16" s="372"/>
      <c r="DQ16" s="372"/>
    </row>
    <row r="17" spans="1:121" ht="16.149999999999999" customHeight="1" x14ac:dyDescent="0.35">
      <c r="A17" s="260">
        <v>26.7</v>
      </c>
      <c r="B17" s="260">
        <v>6.94</v>
      </c>
      <c r="C17" s="260">
        <v>7.5</v>
      </c>
      <c r="E17" s="448">
        <v>82</v>
      </c>
      <c r="F17" s="449">
        <v>1.34</v>
      </c>
      <c r="H17" s="443">
        <v>41</v>
      </c>
      <c r="I17" s="443">
        <v>6</v>
      </c>
      <c r="J17" s="443">
        <v>5.3</v>
      </c>
      <c r="K17" s="443">
        <v>132</v>
      </c>
      <c r="N17" s="443">
        <v>998</v>
      </c>
      <c r="O17" s="443">
        <v>3.1</v>
      </c>
      <c r="P17" s="444"/>
      <c r="Q17" s="444">
        <v>10.9</v>
      </c>
      <c r="R17" s="444">
        <v>32</v>
      </c>
      <c r="S17" s="445">
        <v>6.4</v>
      </c>
      <c r="T17" s="445">
        <v>41</v>
      </c>
      <c r="X17" s="445">
        <v>38</v>
      </c>
      <c r="Y17" s="445">
        <v>9</v>
      </c>
      <c r="Z17" s="444">
        <v>1129</v>
      </c>
      <c r="AB17" s="445">
        <v>4.0999999999999996</v>
      </c>
      <c r="AC17" s="445">
        <v>2.02</v>
      </c>
      <c r="AD17" s="445">
        <v>34</v>
      </c>
      <c r="AG17" s="446">
        <v>242</v>
      </c>
      <c r="AZ17" s="443">
        <v>2</v>
      </c>
      <c r="BA17" s="443">
        <v>2</v>
      </c>
      <c r="BC17" s="443">
        <v>6</v>
      </c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9"/>
      <c r="BR17" s="253"/>
      <c r="BS17" s="259"/>
      <c r="BT17" s="259"/>
      <c r="BU17" s="254"/>
      <c r="BV17" s="254"/>
      <c r="BW17" s="254"/>
      <c r="BX17" s="254"/>
      <c r="BY17" s="254"/>
      <c r="BZ17" s="254"/>
      <c r="CF17" s="366"/>
      <c r="CG17" s="368"/>
      <c r="DO17" s="376"/>
      <c r="DP17" s="372"/>
      <c r="DQ17" s="372"/>
    </row>
    <row r="18" spans="1:121" ht="16.149999999999999" customHeight="1" x14ac:dyDescent="0.35">
      <c r="A18" s="260">
        <v>25.56</v>
      </c>
      <c r="B18" s="260">
        <v>6.78</v>
      </c>
      <c r="C18" s="260">
        <v>7.5</v>
      </c>
      <c r="E18" s="448">
        <v>83</v>
      </c>
      <c r="F18" s="449">
        <v>1.23</v>
      </c>
      <c r="H18" s="443">
        <v>42</v>
      </c>
      <c r="I18" s="443">
        <v>8</v>
      </c>
      <c r="J18" s="443">
        <v>5.9</v>
      </c>
      <c r="K18" s="443">
        <v>125</v>
      </c>
      <c r="N18" s="443">
        <v>993</v>
      </c>
      <c r="O18" s="443">
        <v>1.1000000000000001</v>
      </c>
      <c r="P18" s="444"/>
      <c r="Q18" s="444">
        <v>10.9</v>
      </c>
      <c r="R18" s="444">
        <v>32</v>
      </c>
      <c r="S18" s="445">
        <v>6.5</v>
      </c>
      <c r="T18" s="445">
        <v>41</v>
      </c>
      <c r="X18" s="445">
        <v>39</v>
      </c>
      <c r="Y18" s="445">
        <v>9</v>
      </c>
      <c r="Z18" s="444">
        <v>856</v>
      </c>
      <c r="AB18" s="445">
        <v>4.7</v>
      </c>
      <c r="AC18" s="445">
        <v>1.96</v>
      </c>
      <c r="AD18" s="445">
        <v>34</v>
      </c>
      <c r="AG18" s="446">
        <v>251</v>
      </c>
      <c r="AZ18" s="443">
        <v>2</v>
      </c>
      <c r="BA18" s="443">
        <v>2</v>
      </c>
      <c r="BC18" s="443">
        <v>6</v>
      </c>
      <c r="BG18" s="254"/>
      <c r="BH18" s="254"/>
      <c r="BI18" s="254"/>
      <c r="BJ18" s="254"/>
      <c r="BK18" s="254"/>
      <c r="BL18" s="254"/>
      <c r="BM18" s="254"/>
      <c r="BN18" s="254"/>
      <c r="BO18" s="254"/>
      <c r="BP18" s="254"/>
      <c r="BQ18" s="254"/>
      <c r="BR18" s="254"/>
      <c r="BS18" s="254"/>
      <c r="BT18" s="254"/>
      <c r="BU18" s="254"/>
      <c r="BV18" s="254"/>
      <c r="BW18" s="254"/>
      <c r="BX18" s="254"/>
      <c r="BY18" s="254"/>
      <c r="BZ18" s="254"/>
      <c r="CF18" s="366"/>
      <c r="CG18" s="368"/>
      <c r="DO18" s="376"/>
      <c r="DP18" s="372"/>
      <c r="DQ18" s="372"/>
    </row>
    <row r="19" spans="1:121" ht="16.149999999999999" customHeight="1" x14ac:dyDescent="0.35">
      <c r="A19" s="260">
        <v>23.83</v>
      </c>
      <c r="B19" s="260">
        <v>6.94</v>
      </c>
      <c r="C19" s="260">
        <v>7.5</v>
      </c>
      <c r="E19" s="448">
        <v>84</v>
      </c>
      <c r="F19" s="449">
        <v>1.37</v>
      </c>
      <c r="H19" s="443">
        <v>45</v>
      </c>
      <c r="I19" s="443">
        <v>6</v>
      </c>
      <c r="J19" s="443">
        <v>6.2</v>
      </c>
      <c r="K19" s="443">
        <v>128</v>
      </c>
      <c r="N19" s="443">
        <v>996</v>
      </c>
      <c r="O19" s="443">
        <v>3.7</v>
      </c>
      <c r="P19" s="444"/>
      <c r="Q19" s="444">
        <v>10.8</v>
      </c>
      <c r="R19" s="444">
        <v>32</v>
      </c>
      <c r="S19" s="445">
        <v>6.3</v>
      </c>
      <c r="T19" s="445">
        <v>41</v>
      </c>
      <c r="X19" s="445">
        <v>39</v>
      </c>
      <c r="Y19" s="445">
        <v>9</v>
      </c>
      <c r="Z19" s="444">
        <v>909</v>
      </c>
      <c r="AB19" s="445">
        <v>4.3</v>
      </c>
      <c r="AC19" s="445">
        <v>2.02</v>
      </c>
      <c r="AD19" s="445">
        <v>34</v>
      </c>
      <c r="AG19" s="446">
        <v>257</v>
      </c>
      <c r="AZ19" s="443">
        <v>2</v>
      </c>
      <c r="BA19" s="443">
        <v>2</v>
      </c>
      <c r="BC19" s="443">
        <v>6</v>
      </c>
      <c r="BG19" s="254"/>
      <c r="BH19" s="254"/>
      <c r="BI19" s="254"/>
      <c r="BJ19" s="254"/>
      <c r="BK19" s="254"/>
      <c r="BL19" s="254"/>
      <c r="BM19" s="254"/>
      <c r="BN19" s="254"/>
      <c r="BO19" s="254"/>
      <c r="BP19" s="254"/>
      <c r="BQ19" s="254"/>
      <c r="BR19" s="254"/>
      <c r="BS19" s="254"/>
      <c r="BT19" s="254"/>
      <c r="BU19" s="254"/>
      <c r="BV19" s="254"/>
      <c r="BW19" s="254"/>
      <c r="BX19" s="254"/>
      <c r="BY19" s="254"/>
      <c r="BZ19" s="254"/>
      <c r="CF19" s="366"/>
      <c r="CG19" s="368"/>
      <c r="DO19" s="376"/>
      <c r="DP19" s="372"/>
      <c r="DQ19" s="372"/>
    </row>
    <row r="20" spans="1:121" ht="16.149999999999999" customHeight="1" x14ac:dyDescent="0.35">
      <c r="A20" s="260">
        <v>22.57</v>
      </c>
      <c r="B20" s="260">
        <v>6.56</v>
      </c>
      <c r="C20" s="260">
        <v>12.5</v>
      </c>
      <c r="E20" s="448">
        <v>82</v>
      </c>
      <c r="F20" s="449">
        <v>1.51</v>
      </c>
      <c r="H20" s="443">
        <v>42</v>
      </c>
      <c r="I20" s="443">
        <v>6</v>
      </c>
      <c r="J20" s="443">
        <v>6.4</v>
      </c>
      <c r="K20" s="443">
        <v>129</v>
      </c>
      <c r="N20" s="443">
        <v>993</v>
      </c>
      <c r="O20" s="443">
        <v>1.9</v>
      </c>
      <c r="P20" s="444"/>
      <c r="Q20" s="444">
        <v>10.7</v>
      </c>
      <c r="R20" s="444">
        <v>32</v>
      </c>
      <c r="S20" s="445">
        <v>5.7</v>
      </c>
      <c r="T20" s="445">
        <v>41</v>
      </c>
      <c r="X20" s="445">
        <v>39</v>
      </c>
      <c r="Y20" s="445">
        <v>14</v>
      </c>
      <c r="Z20" s="444">
        <v>1185</v>
      </c>
      <c r="AB20" s="445">
        <v>4.2</v>
      </c>
      <c r="AC20" s="445">
        <v>1.86</v>
      </c>
      <c r="AD20" s="445">
        <v>34</v>
      </c>
      <c r="AG20" s="446">
        <v>235</v>
      </c>
      <c r="AZ20" s="443">
        <v>2</v>
      </c>
      <c r="BA20" s="443">
        <v>2</v>
      </c>
      <c r="BC20" s="443">
        <v>6</v>
      </c>
      <c r="BG20" s="254"/>
      <c r="BH20" s="254"/>
      <c r="BI20" s="254"/>
      <c r="BJ20" s="254"/>
      <c r="BK20" s="254"/>
      <c r="BL20" s="254"/>
      <c r="BM20" s="254"/>
      <c r="BN20" s="254"/>
      <c r="BO20" s="254"/>
      <c r="BP20" s="254"/>
      <c r="BQ20" s="254"/>
      <c r="BR20" s="254"/>
      <c r="BS20" s="254"/>
      <c r="BT20" s="254"/>
      <c r="BU20" s="254"/>
      <c r="BV20" s="254"/>
      <c r="BW20" s="254"/>
      <c r="BX20" s="254"/>
      <c r="BY20" s="254"/>
      <c r="BZ20" s="254"/>
      <c r="CF20" s="366"/>
      <c r="CG20" s="368"/>
      <c r="DO20" s="376"/>
      <c r="DP20" s="372"/>
      <c r="DQ20" s="372"/>
    </row>
    <row r="21" spans="1:121" ht="16.149999999999999" customHeight="1" x14ac:dyDescent="0.35">
      <c r="A21" s="260">
        <v>23.62</v>
      </c>
      <c r="B21" s="260">
        <v>6.45</v>
      </c>
      <c r="C21" s="260">
        <v>12.5</v>
      </c>
      <c r="E21" s="448">
        <v>79</v>
      </c>
      <c r="F21" s="449">
        <v>1.29</v>
      </c>
      <c r="H21" s="443">
        <v>40</v>
      </c>
      <c r="I21" s="443">
        <v>4</v>
      </c>
      <c r="J21" s="455">
        <v>7</v>
      </c>
      <c r="K21" s="443">
        <v>163</v>
      </c>
      <c r="N21" s="443">
        <v>998</v>
      </c>
      <c r="O21" s="443">
        <v>0.6</v>
      </c>
      <c r="P21" s="444"/>
      <c r="Q21" s="450">
        <v>11</v>
      </c>
      <c r="R21" s="444">
        <v>32</v>
      </c>
      <c r="S21" s="445">
        <v>6.1</v>
      </c>
      <c r="T21" s="445">
        <v>42</v>
      </c>
      <c r="X21" s="445">
        <v>39</v>
      </c>
      <c r="Y21" s="445">
        <v>14</v>
      </c>
      <c r="Z21" s="444">
        <v>1070</v>
      </c>
      <c r="AB21" s="445">
        <v>4.4000000000000004</v>
      </c>
      <c r="AC21" s="445">
        <v>2.04</v>
      </c>
      <c r="AD21" s="445">
        <v>34</v>
      </c>
      <c r="AZ21" s="443">
        <v>2</v>
      </c>
      <c r="BA21" s="443">
        <v>2</v>
      </c>
      <c r="BC21" s="443">
        <v>6</v>
      </c>
      <c r="BG21" s="254"/>
      <c r="BH21" s="254"/>
      <c r="BI21" s="254"/>
      <c r="BJ21" s="254"/>
      <c r="BK21" s="254"/>
      <c r="BL21" s="254"/>
      <c r="BM21" s="254"/>
      <c r="BN21" s="254"/>
      <c r="BO21" s="254"/>
      <c r="BP21" s="254"/>
      <c r="BQ21" s="254"/>
      <c r="BR21" s="254"/>
      <c r="BS21" s="254"/>
      <c r="BT21" s="254"/>
      <c r="BU21" s="254"/>
      <c r="BV21" s="254"/>
      <c r="BW21" s="254"/>
      <c r="BX21" s="254"/>
      <c r="BY21" s="254"/>
      <c r="BZ21" s="254"/>
      <c r="CF21" s="366"/>
      <c r="CG21" s="368"/>
      <c r="DO21" s="376"/>
      <c r="DP21" s="372"/>
      <c r="DQ21" s="372"/>
    </row>
    <row r="22" spans="1:121" ht="16.149999999999999" customHeight="1" x14ac:dyDescent="0.35">
      <c r="A22" s="260">
        <v>21</v>
      </c>
      <c r="B22" s="260">
        <v>6.05</v>
      </c>
      <c r="C22" s="260">
        <v>12.5</v>
      </c>
      <c r="E22" s="448">
        <v>83</v>
      </c>
      <c r="F22" s="449">
        <v>1.06</v>
      </c>
      <c r="H22" s="443">
        <v>43</v>
      </c>
      <c r="I22" s="443">
        <v>7</v>
      </c>
      <c r="J22" s="443">
        <v>6.2</v>
      </c>
      <c r="K22" s="443">
        <v>120</v>
      </c>
      <c r="N22" s="443">
        <v>999</v>
      </c>
      <c r="O22" s="443">
        <v>1.5</v>
      </c>
      <c r="P22" s="444"/>
      <c r="Q22" s="444"/>
      <c r="R22" s="444">
        <v>32</v>
      </c>
      <c r="T22" s="445">
        <v>42</v>
      </c>
      <c r="X22" s="445">
        <v>39</v>
      </c>
      <c r="Z22" s="444">
        <v>975</v>
      </c>
      <c r="AD22" s="445">
        <v>34</v>
      </c>
      <c r="AZ22" s="443">
        <v>3</v>
      </c>
      <c r="BA22" s="443">
        <v>2</v>
      </c>
      <c r="BC22" s="443">
        <v>7</v>
      </c>
      <c r="BG22" s="254"/>
      <c r="BH22" s="254"/>
      <c r="BI22" s="254"/>
      <c r="BJ22" s="254"/>
      <c r="BK22" s="254"/>
      <c r="BL22" s="254"/>
      <c r="BM22" s="254"/>
      <c r="BN22" s="254"/>
      <c r="BO22" s="254"/>
      <c r="BP22" s="254"/>
      <c r="BQ22" s="254"/>
      <c r="BR22" s="254"/>
      <c r="BS22" s="254"/>
      <c r="BT22" s="254"/>
      <c r="BU22" s="254"/>
      <c r="BV22" s="254"/>
      <c r="BW22" s="254"/>
      <c r="BX22" s="254"/>
      <c r="BY22" s="254"/>
      <c r="BZ22" s="254"/>
      <c r="CF22" s="366"/>
      <c r="CG22" s="368"/>
      <c r="DO22" s="376"/>
      <c r="DP22" s="372"/>
      <c r="DQ22" s="372"/>
    </row>
    <row r="23" spans="1:121" ht="16.149999999999999" customHeight="1" x14ac:dyDescent="0.35">
      <c r="A23" s="260">
        <v>24.77</v>
      </c>
      <c r="B23" s="260">
        <v>7.01</v>
      </c>
      <c r="C23" s="260">
        <v>12.5</v>
      </c>
      <c r="E23" s="448">
        <v>82</v>
      </c>
      <c r="F23" s="449">
        <v>1.31</v>
      </c>
      <c r="H23" s="443">
        <v>42</v>
      </c>
      <c r="I23" s="443">
        <v>3</v>
      </c>
      <c r="J23" s="443">
        <v>6.1</v>
      </c>
      <c r="K23" s="443">
        <v>134</v>
      </c>
      <c r="N23" s="443">
        <v>995</v>
      </c>
      <c r="O23" s="443">
        <v>3.3</v>
      </c>
      <c r="P23" s="444"/>
      <c r="Q23" s="444"/>
      <c r="R23" s="444">
        <v>32</v>
      </c>
      <c r="T23" s="445">
        <v>42</v>
      </c>
      <c r="X23" s="445">
        <v>39</v>
      </c>
      <c r="Z23" s="444">
        <v>959</v>
      </c>
      <c r="AD23" s="445">
        <v>34</v>
      </c>
      <c r="AZ23" s="443">
        <v>3</v>
      </c>
      <c r="BA23" s="443">
        <v>2</v>
      </c>
      <c r="BC23" s="443">
        <v>7</v>
      </c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4"/>
      <c r="CF23" s="366"/>
      <c r="CG23" s="368"/>
      <c r="DO23" s="376"/>
      <c r="DP23" s="372"/>
      <c r="DQ23" s="372"/>
    </row>
    <row r="24" spans="1:121" ht="16.149999999999999" customHeight="1" x14ac:dyDescent="0.35">
      <c r="A24" s="260">
        <v>24.88</v>
      </c>
      <c r="B24" s="260">
        <v>6.47</v>
      </c>
      <c r="C24" s="260">
        <v>12.5</v>
      </c>
      <c r="E24" s="448">
        <v>83</v>
      </c>
      <c r="F24" s="449">
        <v>1.1399999999999999</v>
      </c>
      <c r="H24" s="443">
        <v>42</v>
      </c>
      <c r="I24" s="443">
        <v>7</v>
      </c>
      <c r="J24" s="455">
        <v>6</v>
      </c>
      <c r="K24" s="443">
        <v>131</v>
      </c>
      <c r="N24" s="443">
        <v>993</v>
      </c>
      <c r="O24" s="443">
        <v>3.6</v>
      </c>
      <c r="P24" s="444"/>
      <c r="Q24" s="444"/>
      <c r="R24" s="444">
        <v>32</v>
      </c>
      <c r="T24" s="445">
        <v>42</v>
      </c>
      <c r="X24" s="445">
        <v>39</v>
      </c>
      <c r="Z24" s="444">
        <v>1080</v>
      </c>
      <c r="AD24" s="445">
        <v>34</v>
      </c>
      <c r="AZ24" s="443">
        <v>3</v>
      </c>
      <c r="BA24" s="443">
        <v>2</v>
      </c>
      <c r="BC24" s="443">
        <v>7</v>
      </c>
      <c r="BG24" s="254"/>
      <c r="BH24" s="254"/>
      <c r="BI24" s="254"/>
      <c r="BJ24" s="254"/>
      <c r="BK24" s="254"/>
      <c r="BL24" s="254"/>
      <c r="BM24" s="254"/>
      <c r="BN24" s="254"/>
      <c r="BO24" s="254"/>
      <c r="BP24" s="254"/>
      <c r="BQ24" s="254"/>
      <c r="BR24" s="254"/>
      <c r="BS24" s="254"/>
      <c r="BT24" s="254"/>
      <c r="BU24" s="254"/>
      <c r="BV24" s="254"/>
      <c r="BW24" s="254"/>
      <c r="BX24" s="254"/>
      <c r="BY24" s="254"/>
      <c r="BZ24" s="254"/>
      <c r="CF24" s="366"/>
      <c r="CG24" s="368"/>
      <c r="DO24" s="376"/>
      <c r="DP24" s="372"/>
      <c r="DQ24" s="372"/>
    </row>
    <row r="25" spans="1:121" ht="16.149999999999999" customHeight="1" x14ac:dyDescent="0.35">
      <c r="A25" s="260">
        <v>22.73</v>
      </c>
      <c r="B25" s="260">
        <v>6.75</v>
      </c>
      <c r="C25" s="260">
        <v>12.5</v>
      </c>
      <c r="E25" s="448">
        <v>82</v>
      </c>
      <c r="F25" s="449">
        <v>1.58</v>
      </c>
      <c r="H25" s="443">
        <v>40</v>
      </c>
      <c r="I25" s="443">
        <v>9</v>
      </c>
      <c r="J25" s="443">
        <v>6.1</v>
      </c>
      <c r="K25" s="443">
        <v>126</v>
      </c>
      <c r="N25" s="443">
        <v>1000</v>
      </c>
      <c r="O25" s="443">
        <v>2.4</v>
      </c>
      <c r="P25" s="444"/>
      <c r="Q25" s="444"/>
      <c r="R25" s="444">
        <v>32</v>
      </c>
      <c r="T25" s="445">
        <v>42</v>
      </c>
      <c r="X25" s="445">
        <v>39</v>
      </c>
      <c r="Z25" s="444">
        <v>1084</v>
      </c>
      <c r="AD25" s="445">
        <v>35</v>
      </c>
      <c r="AZ25" s="443">
        <v>3</v>
      </c>
      <c r="BA25" s="443">
        <v>2</v>
      </c>
      <c r="BC25" s="443">
        <v>8</v>
      </c>
      <c r="BG25" s="254"/>
      <c r="BH25" s="254"/>
      <c r="BI25" s="254"/>
      <c r="BJ25" s="254"/>
      <c r="BK25" s="254"/>
      <c r="BL25" s="254"/>
      <c r="BM25" s="254"/>
      <c r="BN25" s="254"/>
      <c r="BO25" s="254"/>
      <c r="BP25" s="254"/>
      <c r="BQ25" s="254"/>
      <c r="BR25" s="254"/>
      <c r="BS25" s="254"/>
      <c r="BT25" s="254"/>
      <c r="BU25" s="254"/>
      <c r="BV25" s="254"/>
      <c r="BW25" s="254"/>
      <c r="BX25" s="254"/>
      <c r="BY25" s="254"/>
      <c r="BZ25" s="254"/>
      <c r="CF25" s="366"/>
      <c r="CG25" s="368"/>
      <c r="DO25" s="376"/>
      <c r="DP25" s="372"/>
      <c r="DQ25" s="372"/>
    </row>
    <row r="26" spans="1:121" ht="16.149999999999999" customHeight="1" x14ac:dyDescent="0.35">
      <c r="A26" s="260">
        <v>25.1</v>
      </c>
      <c r="B26" s="260">
        <v>6.17</v>
      </c>
      <c r="C26" s="260">
        <v>12.5</v>
      </c>
      <c r="E26" s="448">
        <v>82</v>
      </c>
      <c r="F26" s="449">
        <v>1.17</v>
      </c>
      <c r="H26" s="443">
        <v>41</v>
      </c>
      <c r="I26" s="443">
        <v>5</v>
      </c>
      <c r="J26" s="443">
        <v>5.5</v>
      </c>
      <c r="K26" s="443">
        <v>142</v>
      </c>
      <c r="N26" s="443">
        <v>995</v>
      </c>
      <c r="O26" s="443">
        <v>2.6</v>
      </c>
      <c r="P26" s="444"/>
      <c r="Q26" s="444"/>
      <c r="R26" s="444">
        <v>32</v>
      </c>
      <c r="T26" s="445">
        <v>42</v>
      </c>
      <c r="X26" s="445">
        <v>39</v>
      </c>
      <c r="Z26" s="444">
        <v>961</v>
      </c>
      <c r="AD26" s="445">
        <v>35</v>
      </c>
      <c r="AZ26" s="443">
        <v>4</v>
      </c>
      <c r="BA26" s="443">
        <v>2</v>
      </c>
      <c r="BC26" s="443">
        <v>8</v>
      </c>
      <c r="BG26" s="254"/>
      <c r="BH26" s="254"/>
      <c r="BI26" s="254"/>
      <c r="BJ26" s="254"/>
      <c r="BK26" s="254"/>
      <c r="BL26" s="254"/>
      <c r="BM26" s="254"/>
      <c r="BN26" s="254"/>
      <c r="BO26" s="254"/>
      <c r="BP26" s="254"/>
      <c r="BQ26" s="254"/>
      <c r="BR26" s="254"/>
      <c r="BS26" s="254"/>
      <c r="BT26" s="254"/>
      <c r="BU26" s="254"/>
      <c r="BV26" s="254"/>
      <c r="BW26" s="254"/>
      <c r="BX26" s="254"/>
      <c r="BY26" s="254"/>
      <c r="BZ26" s="254"/>
      <c r="CF26" s="366"/>
      <c r="CG26" s="368"/>
      <c r="DO26" s="376"/>
      <c r="DP26" s="372"/>
      <c r="DQ26" s="372"/>
    </row>
    <row r="27" spans="1:121" ht="16.149999999999999" customHeight="1" x14ac:dyDescent="0.35">
      <c r="A27" s="260">
        <v>23.99</v>
      </c>
      <c r="B27" s="260">
        <v>6.37</v>
      </c>
      <c r="C27" s="260">
        <v>12.5</v>
      </c>
      <c r="E27" s="448">
        <v>82</v>
      </c>
      <c r="F27" s="449">
        <v>1.0900000000000001</v>
      </c>
      <c r="H27" s="443">
        <v>42</v>
      </c>
      <c r="I27" s="443">
        <v>8</v>
      </c>
      <c r="J27" s="443">
        <v>6.4</v>
      </c>
      <c r="K27" s="443">
        <v>104</v>
      </c>
      <c r="N27" s="443">
        <v>995</v>
      </c>
      <c r="O27" s="443">
        <v>3.1</v>
      </c>
      <c r="P27" s="444"/>
      <c r="Q27" s="444"/>
      <c r="R27" s="444">
        <v>32</v>
      </c>
      <c r="T27" s="445">
        <v>42</v>
      </c>
      <c r="X27" s="445">
        <v>39</v>
      </c>
      <c r="Z27" s="444">
        <v>957</v>
      </c>
      <c r="AD27" s="445">
        <v>35</v>
      </c>
      <c r="AZ27" s="443">
        <v>4</v>
      </c>
      <c r="BA27" s="443">
        <v>2</v>
      </c>
      <c r="BC27" s="443">
        <v>8</v>
      </c>
      <c r="BG27" s="254"/>
      <c r="BH27" s="254"/>
      <c r="BI27" s="254"/>
      <c r="BJ27" s="254"/>
      <c r="BK27" s="254"/>
      <c r="BL27" s="254"/>
      <c r="BM27" s="254"/>
      <c r="BN27" s="254"/>
      <c r="BO27" s="254"/>
      <c r="BP27" s="254"/>
      <c r="BQ27" s="254"/>
      <c r="BR27" s="254"/>
      <c r="BS27" s="254"/>
      <c r="BT27" s="254"/>
      <c r="BU27" s="254"/>
      <c r="BV27" s="254"/>
      <c r="BW27" s="254"/>
      <c r="BX27" s="254"/>
      <c r="BY27" s="254"/>
      <c r="BZ27" s="254"/>
      <c r="CF27" s="366"/>
      <c r="CG27" s="368"/>
      <c r="DO27" s="376"/>
      <c r="DP27" s="372"/>
      <c r="DQ27" s="372"/>
    </row>
    <row r="28" spans="1:121" ht="16.149999999999999" customHeight="1" x14ac:dyDescent="0.35">
      <c r="A28" s="260">
        <v>25.22</v>
      </c>
      <c r="B28" s="260">
        <v>6.16</v>
      </c>
      <c r="C28" s="260">
        <v>12.5</v>
      </c>
      <c r="E28" s="448">
        <v>81</v>
      </c>
      <c r="F28" s="449">
        <v>1.27</v>
      </c>
      <c r="H28" s="443">
        <v>42</v>
      </c>
      <c r="I28" s="443">
        <v>9</v>
      </c>
      <c r="J28" s="443">
        <v>5.9</v>
      </c>
      <c r="K28" s="443">
        <v>120</v>
      </c>
      <c r="N28" s="443">
        <v>992</v>
      </c>
      <c r="O28" s="443">
        <v>1.7</v>
      </c>
      <c r="P28" s="444"/>
      <c r="Q28" s="444"/>
      <c r="R28" s="444">
        <v>32</v>
      </c>
      <c r="T28" s="445">
        <v>42</v>
      </c>
      <c r="X28" s="445">
        <v>39</v>
      </c>
      <c r="Z28" s="444">
        <v>909</v>
      </c>
      <c r="AD28" s="445">
        <v>35</v>
      </c>
      <c r="AZ28" s="443">
        <v>4</v>
      </c>
      <c r="BA28" s="443">
        <v>2</v>
      </c>
      <c r="BC28" s="443">
        <v>8</v>
      </c>
      <c r="BG28" s="254"/>
      <c r="BH28" s="254"/>
      <c r="BI28" s="254"/>
      <c r="BJ28" s="254"/>
      <c r="BK28" s="254"/>
      <c r="BL28" s="254"/>
      <c r="BM28" s="254"/>
      <c r="BN28" s="254"/>
      <c r="BO28" s="254"/>
      <c r="BP28" s="254"/>
      <c r="BQ28" s="254"/>
      <c r="BR28" s="254"/>
      <c r="BS28" s="254"/>
      <c r="BT28" s="254"/>
      <c r="BU28" s="254"/>
      <c r="BV28" s="254"/>
      <c r="BW28" s="254"/>
      <c r="BX28" s="254"/>
      <c r="BY28" s="254"/>
      <c r="BZ28" s="254"/>
      <c r="CF28" s="366"/>
      <c r="CG28" s="368"/>
      <c r="DO28" s="376"/>
      <c r="DP28" s="372"/>
      <c r="DQ28" s="372"/>
    </row>
    <row r="29" spans="1:121" ht="16.149999999999999" customHeight="1" x14ac:dyDescent="0.35">
      <c r="A29" s="260">
        <v>22.52</v>
      </c>
      <c r="B29" s="260">
        <v>5.87</v>
      </c>
      <c r="C29" s="260">
        <v>12.5</v>
      </c>
      <c r="E29" s="448">
        <v>80</v>
      </c>
      <c r="F29" s="449">
        <v>1.22</v>
      </c>
      <c r="H29" s="443">
        <v>43</v>
      </c>
      <c r="I29" s="443">
        <v>3</v>
      </c>
      <c r="J29" s="443">
        <v>5.7</v>
      </c>
      <c r="K29" s="443">
        <v>141</v>
      </c>
      <c r="N29" s="443">
        <v>993</v>
      </c>
      <c r="O29" s="443">
        <v>0.9</v>
      </c>
      <c r="P29" s="444"/>
      <c r="Q29" s="444"/>
      <c r="R29" s="444">
        <v>32</v>
      </c>
      <c r="T29" s="445">
        <v>42</v>
      </c>
      <c r="X29" s="445">
        <v>39</v>
      </c>
      <c r="Z29" s="444">
        <v>1173</v>
      </c>
      <c r="AD29" s="445">
        <v>35</v>
      </c>
      <c r="AZ29" s="443">
        <v>5</v>
      </c>
      <c r="BA29" s="443">
        <v>3</v>
      </c>
      <c r="BC29" s="443">
        <v>8</v>
      </c>
      <c r="BG29" s="254"/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F29" s="366"/>
      <c r="CG29" s="368"/>
      <c r="DO29" s="376"/>
      <c r="DP29" s="372"/>
      <c r="DQ29" s="372"/>
    </row>
    <row r="30" spans="1:121" ht="16.149999999999999" customHeight="1" x14ac:dyDescent="0.35">
      <c r="A30" s="260">
        <v>27.46</v>
      </c>
      <c r="B30" s="260">
        <v>6.02</v>
      </c>
      <c r="C30" s="260">
        <v>12.5</v>
      </c>
      <c r="E30" s="448">
        <v>82</v>
      </c>
      <c r="F30" s="449">
        <v>1.33</v>
      </c>
      <c r="H30" s="443">
        <v>42</v>
      </c>
      <c r="I30" s="443">
        <v>3</v>
      </c>
      <c r="J30" s="443">
        <v>5.9</v>
      </c>
      <c r="K30" s="443">
        <v>114</v>
      </c>
      <c r="N30" s="443">
        <v>996</v>
      </c>
      <c r="O30" s="443">
        <v>2.6</v>
      </c>
      <c r="P30" s="444"/>
      <c r="Q30" s="444"/>
      <c r="R30" s="444">
        <v>32</v>
      </c>
      <c r="T30" s="445">
        <v>42</v>
      </c>
      <c r="X30" s="445">
        <v>39</v>
      </c>
      <c r="Z30" s="444">
        <v>1046</v>
      </c>
      <c r="AD30" s="445">
        <v>35</v>
      </c>
      <c r="AZ30" s="443">
        <v>6</v>
      </c>
      <c r="BA30" s="443">
        <v>3</v>
      </c>
      <c r="BC30" s="443">
        <v>8</v>
      </c>
      <c r="BG30" s="254"/>
      <c r="BH30" s="254"/>
      <c r="BI30" s="254"/>
      <c r="BJ30" s="254"/>
      <c r="BK30" s="254"/>
      <c r="BL30" s="254"/>
      <c r="BM30" s="254"/>
      <c r="BN30" s="254"/>
      <c r="BO30" s="254"/>
      <c r="BP30" s="254"/>
      <c r="BQ30" s="254"/>
      <c r="BR30" s="254"/>
      <c r="BS30" s="254"/>
      <c r="BT30" s="254"/>
      <c r="BU30" s="254"/>
      <c r="BV30" s="254"/>
      <c r="BW30" s="254"/>
      <c r="BX30" s="254"/>
      <c r="BY30" s="254"/>
      <c r="BZ30" s="254"/>
      <c r="CF30" s="366"/>
      <c r="CG30" s="368"/>
      <c r="DO30" s="376"/>
      <c r="DP30" s="372"/>
      <c r="DQ30" s="372"/>
    </row>
    <row r="31" spans="1:121" ht="16.149999999999999" customHeight="1" x14ac:dyDescent="0.35">
      <c r="A31" s="260">
        <v>26.08</v>
      </c>
      <c r="B31" s="260">
        <v>6.42</v>
      </c>
      <c r="C31" s="260">
        <v>12.5</v>
      </c>
      <c r="E31" s="448">
        <v>82</v>
      </c>
      <c r="F31" s="449">
        <v>1.63</v>
      </c>
      <c r="H31" s="443">
        <v>43</v>
      </c>
      <c r="I31" s="443">
        <v>7</v>
      </c>
      <c r="J31" s="443">
        <v>5.9</v>
      </c>
      <c r="K31" s="443">
        <v>130</v>
      </c>
      <c r="N31" s="443">
        <v>996</v>
      </c>
      <c r="O31" s="443">
        <v>2.5</v>
      </c>
      <c r="P31" s="444"/>
      <c r="Q31" s="444"/>
      <c r="R31" s="444">
        <v>32</v>
      </c>
      <c r="T31" s="445">
        <v>42</v>
      </c>
      <c r="X31" s="445">
        <v>39</v>
      </c>
      <c r="Z31" s="444">
        <v>1024</v>
      </c>
      <c r="AD31" s="445">
        <v>38</v>
      </c>
      <c r="AZ31" s="443">
        <v>7</v>
      </c>
      <c r="BA31" s="443">
        <v>3</v>
      </c>
      <c r="BC31" s="443">
        <v>8</v>
      </c>
      <c r="BG31" s="254"/>
      <c r="BH31" s="254"/>
      <c r="BI31" s="254"/>
      <c r="BJ31" s="254"/>
      <c r="BK31" s="254"/>
      <c r="BL31" s="254"/>
      <c r="BM31" s="254"/>
      <c r="BN31" s="254"/>
      <c r="BO31" s="254"/>
      <c r="BP31" s="254"/>
      <c r="BQ31" s="254"/>
      <c r="BR31" s="254"/>
      <c r="BS31" s="254"/>
      <c r="BT31" s="254"/>
      <c r="BU31" s="254"/>
      <c r="BV31" s="254"/>
      <c r="BW31" s="254"/>
      <c r="BX31" s="254"/>
      <c r="BY31" s="254"/>
      <c r="BZ31" s="254"/>
      <c r="CF31" s="366"/>
      <c r="CG31" s="368"/>
      <c r="DO31" s="376"/>
      <c r="DP31" s="372"/>
      <c r="DQ31" s="372"/>
    </row>
    <row r="32" spans="1:121" ht="16.149999999999999" customHeight="1" x14ac:dyDescent="0.35">
      <c r="A32" s="260">
        <v>24.96</v>
      </c>
      <c r="B32" s="260">
        <v>5.91</v>
      </c>
      <c r="C32" s="260">
        <v>12.5</v>
      </c>
      <c r="E32" s="448">
        <v>83</v>
      </c>
      <c r="F32" s="449">
        <v>1.41</v>
      </c>
      <c r="H32" s="443">
        <v>39</v>
      </c>
      <c r="I32" s="443">
        <v>5</v>
      </c>
      <c r="J32" s="443">
        <v>6.1</v>
      </c>
      <c r="K32" s="443">
        <v>155</v>
      </c>
      <c r="O32" s="443">
        <v>6.2</v>
      </c>
      <c r="P32" s="444"/>
      <c r="Q32" s="444"/>
      <c r="R32" s="444">
        <v>32</v>
      </c>
      <c r="T32" s="445">
        <v>42</v>
      </c>
      <c r="X32" s="445">
        <v>39</v>
      </c>
      <c r="Z32" s="444">
        <v>1100</v>
      </c>
      <c r="AD32" s="445">
        <v>38</v>
      </c>
      <c r="BA32" s="443">
        <v>3</v>
      </c>
      <c r="BC32" s="443">
        <v>9</v>
      </c>
      <c r="BG32" s="254"/>
      <c r="BH32" s="254"/>
      <c r="BI32" s="254"/>
      <c r="BJ32" s="254"/>
      <c r="BK32" s="254"/>
      <c r="BL32" s="254"/>
      <c r="BM32" s="254"/>
      <c r="BN32" s="254"/>
      <c r="BO32" s="254"/>
      <c r="BP32" s="254"/>
      <c r="BQ32" s="254"/>
      <c r="BR32" s="254"/>
      <c r="BS32" s="254"/>
      <c r="BT32" s="254"/>
      <c r="BU32" s="254"/>
      <c r="BV32" s="254"/>
      <c r="BW32" s="254"/>
      <c r="BX32" s="254"/>
      <c r="BY32" s="254"/>
      <c r="BZ32" s="254"/>
      <c r="CF32" s="366"/>
      <c r="CG32" s="368"/>
      <c r="DO32" s="376"/>
      <c r="DP32" s="372"/>
      <c r="DQ32" s="372"/>
    </row>
    <row r="33" spans="1:121" ht="16.149999999999999" customHeight="1" x14ac:dyDescent="0.35">
      <c r="A33" s="260">
        <v>26.57</v>
      </c>
      <c r="B33" s="260">
        <v>5.79</v>
      </c>
      <c r="C33" s="260">
        <v>12.5</v>
      </c>
      <c r="E33" s="448">
        <v>80</v>
      </c>
      <c r="F33" s="449">
        <v>1.17</v>
      </c>
      <c r="H33" s="443">
        <v>44</v>
      </c>
      <c r="I33" s="443">
        <v>7</v>
      </c>
      <c r="J33" s="443">
        <v>5.3</v>
      </c>
      <c r="K33" s="443">
        <v>130</v>
      </c>
      <c r="O33" s="455">
        <v>10</v>
      </c>
      <c r="P33" s="444"/>
      <c r="Q33" s="444"/>
      <c r="R33" s="444">
        <v>32</v>
      </c>
      <c r="T33" s="445">
        <v>42</v>
      </c>
      <c r="X33" s="445">
        <v>39</v>
      </c>
      <c r="Z33" s="444">
        <v>946</v>
      </c>
      <c r="AD33" s="445">
        <v>38</v>
      </c>
      <c r="BA33" s="443">
        <v>3</v>
      </c>
      <c r="BC33" s="443">
        <v>9</v>
      </c>
      <c r="BG33" s="254"/>
      <c r="BH33" s="254"/>
      <c r="BI33" s="254"/>
      <c r="BJ33" s="254"/>
      <c r="BK33" s="254"/>
      <c r="BL33" s="254"/>
      <c r="BM33" s="254"/>
      <c r="BN33" s="254"/>
      <c r="BO33" s="254"/>
      <c r="BP33" s="254"/>
      <c r="BQ33" s="254"/>
      <c r="BR33" s="254"/>
      <c r="BS33" s="254"/>
      <c r="BT33" s="254"/>
      <c r="BU33" s="254"/>
      <c r="BV33" s="254"/>
      <c r="BW33" s="254"/>
      <c r="BX33" s="254"/>
      <c r="BY33" s="254"/>
      <c r="BZ33" s="254"/>
      <c r="CF33" s="366"/>
      <c r="CG33" s="368"/>
      <c r="DO33" s="376"/>
      <c r="DP33" s="372"/>
      <c r="DQ33" s="372"/>
    </row>
    <row r="34" spans="1:121" ht="16.149999999999999" customHeight="1" x14ac:dyDescent="0.35">
      <c r="A34" s="260">
        <v>24.71</v>
      </c>
      <c r="B34" s="260">
        <v>6.42</v>
      </c>
      <c r="C34" s="260">
        <v>12.5</v>
      </c>
      <c r="E34" s="448">
        <v>82</v>
      </c>
      <c r="F34" s="449">
        <v>1.43</v>
      </c>
      <c r="H34" s="443">
        <v>43</v>
      </c>
      <c r="I34" s="443">
        <v>8</v>
      </c>
      <c r="J34" s="443">
        <v>6.6</v>
      </c>
      <c r="K34" s="443">
        <v>145</v>
      </c>
      <c r="O34" s="443">
        <v>3.7</v>
      </c>
      <c r="P34" s="444"/>
      <c r="Q34" s="444"/>
      <c r="R34" s="444">
        <v>32</v>
      </c>
      <c r="T34" s="445">
        <v>42</v>
      </c>
      <c r="X34" s="445">
        <v>39</v>
      </c>
      <c r="Z34" s="444">
        <v>1143</v>
      </c>
      <c r="AD34" s="445">
        <v>38</v>
      </c>
      <c r="BA34" s="443">
        <v>3</v>
      </c>
      <c r="BC34" s="443">
        <v>9</v>
      </c>
      <c r="BG34" s="254"/>
      <c r="BH34" s="254"/>
      <c r="BI34" s="254"/>
      <c r="BJ34" s="254"/>
      <c r="BK34" s="254"/>
      <c r="BL34" s="254"/>
      <c r="BM34" s="254"/>
      <c r="BN34" s="254"/>
      <c r="BO34" s="254"/>
      <c r="BP34" s="254"/>
      <c r="BQ34" s="254"/>
      <c r="BR34" s="254"/>
      <c r="BS34" s="254"/>
      <c r="BT34" s="254"/>
      <c r="BU34" s="254"/>
      <c r="BV34" s="254"/>
      <c r="BW34" s="254"/>
      <c r="BX34" s="254"/>
      <c r="BY34" s="254"/>
      <c r="BZ34" s="254"/>
      <c r="CF34" s="366"/>
      <c r="CG34" s="368"/>
      <c r="DO34" s="376"/>
      <c r="DP34" s="372"/>
      <c r="DQ34" s="372"/>
    </row>
    <row r="35" spans="1:121" ht="16.149999999999999" customHeight="1" x14ac:dyDescent="0.35">
      <c r="A35" s="260">
        <v>27.74</v>
      </c>
      <c r="B35" s="260">
        <v>6.35</v>
      </c>
      <c r="C35" s="260">
        <v>12.5</v>
      </c>
      <c r="E35" s="448">
        <v>85</v>
      </c>
      <c r="F35" s="449">
        <v>1.31</v>
      </c>
      <c r="H35" s="443">
        <v>42</v>
      </c>
      <c r="I35" s="443">
        <v>7</v>
      </c>
      <c r="J35" s="443">
        <v>5.8</v>
      </c>
      <c r="K35" s="443">
        <v>133</v>
      </c>
      <c r="O35" s="443">
        <v>3.4</v>
      </c>
      <c r="P35" s="444"/>
      <c r="Q35" s="444"/>
      <c r="R35" s="444">
        <v>32</v>
      </c>
      <c r="T35" s="445">
        <v>42</v>
      </c>
      <c r="X35" s="445">
        <v>39</v>
      </c>
      <c r="Z35" s="444">
        <v>1038</v>
      </c>
      <c r="AD35" s="445">
        <v>38</v>
      </c>
      <c r="BA35" s="443">
        <v>3</v>
      </c>
      <c r="BC35" s="443">
        <v>9</v>
      </c>
      <c r="BG35" s="254"/>
      <c r="BH35" s="254"/>
      <c r="BI35" s="254"/>
      <c r="BJ35" s="254"/>
      <c r="BK35" s="254"/>
      <c r="BL35" s="254"/>
      <c r="BM35" s="254"/>
      <c r="BN35" s="254"/>
      <c r="BO35" s="254"/>
      <c r="BP35" s="254"/>
      <c r="BQ35" s="254"/>
      <c r="BR35" s="254"/>
      <c r="BS35" s="254"/>
      <c r="BT35" s="254"/>
      <c r="BU35" s="254"/>
      <c r="BV35" s="254"/>
      <c r="BW35" s="254"/>
      <c r="BX35" s="254"/>
      <c r="BY35" s="254"/>
      <c r="BZ35" s="254"/>
      <c r="CF35" s="366"/>
      <c r="CG35" s="368"/>
      <c r="DO35" s="376"/>
      <c r="DP35" s="372"/>
      <c r="DQ35" s="372"/>
    </row>
    <row r="36" spans="1:121" ht="16.149999999999999" customHeight="1" x14ac:dyDescent="0.35">
      <c r="A36" s="260">
        <v>24.93</v>
      </c>
      <c r="B36" s="260">
        <v>6.17</v>
      </c>
      <c r="C36" s="260">
        <v>12.5</v>
      </c>
      <c r="E36" s="448">
        <v>81</v>
      </c>
      <c r="F36" s="449">
        <v>1.39</v>
      </c>
      <c r="H36" s="443">
        <v>40</v>
      </c>
      <c r="I36" s="443">
        <v>9</v>
      </c>
      <c r="J36" s="443">
        <v>7.7</v>
      </c>
      <c r="K36" s="443">
        <v>121</v>
      </c>
      <c r="O36" s="443">
        <v>1.3</v>
      </c>
      <c r="P36" s="444"/>
      <c r="Q36" s="444"/>
      <c r="R36" s="444">
        <v>32</v>
      </c>
      <c r="T36" s="445">
        <v>42</v>
      </c>
      <c r="X36" s="445">
        <v>39</v>
      </c>
      <c r="Z36" s="444">
        <v>875</v>
      </c>
      <c r="AD36" s="445">
        <v>40</v>
      </c>
      <c r="BA36" s="443">
        <v>3</v>
      </c>
      <c r="BC36" s="443">
        <v>9</v>
      </c>
      <c r="BG36" s="254"/>
      <c r="BH36" s="254"/>
      <c r="BI36" s="254"/>
      <c r="BJ36" s="254"/>
      <c r="BK36" s="254"/>
      <c r="BL36" s="254"/>
      <c r="CF36" s="366"/>
      <c r="CG36" s="368"/>
      <c r="DO36" s="376"/>
      <c r="DP36" s="372"/>
      <c r="DQ36" s="372"/>
    </row>
    <row r="37" spans="1:121" ht="16.149999999999999" customHeight="1" x14ac:dyDescent="0.35">
      <c r="A37" s="260">
        <v>23.92</v>
      </c>
      <c r="B37" s="260">
        <v>5.76</v>
      </c>
      <c r="C37" s="260">
        <v>12.5</v>
      </c>
      <c r="E37" s="448">
        <v>83</v>
      </c>
      <c r="F37" s="449">
        <v>1.48</v>
      </c>
      <c r="H37" s="443">
        <v>42</v>
      </c>
      <c r="I37" s="443">
        <v>7</v>
      </c>
      <c r="J37" s="443">
        <v>5.9</v>
      </c>
      <c r="K37" s="443">
        <v>137</v>
      </c>
      <c r="O37" s="443">
        <v>0.1</v>
      </c>
      <c r="P37" s="444"/>
      <c r="Q37" s="444"/>
      <c r="R37" s="444">
        <v>32</v>
      </c>
      <c r="T37" s="445">
        <v>43</v>
      </c>
      <c r="X37" s="445">
        <v>39</v>
      </c>
      <c r="Z37" s="444">
        <v>1009</v>
      </c>
      <c r="AD37" s="445">
        <v>40</v>
      </c>
      <c r="BA37" s="443">
        <v>3</v>
      </c>
      <c r="BC37" s="443">
        <v>9</v>
      </c>
      <c r="BG37" s="254"/>
      <c r="BH37" s="254"/>
      <c r="BI37" s="254"/>
      <c r="BJ37" s="254"/>
      <c r="BK37" s="254"/>
      <c r="BL37" s="254"/>
      <c r="CF37" s="366"/>
      <c r="CG37" s="368"/>
      <c r="DO37" s="376"/>
      <c r="DP37" s="372"/>
      <c r="DQ37" s="372"/>
    </row>
    <row r="38" spans="1:121" ht="16.149999999999999" customHeight="1" x14ac:dyDescent="0.35">
      <c r="A38" s="260">
        <v>24.16</v>
      </c>
      <c r="B38" s="260">
        <v>5.38</v>
      </c>
      <c r="C38" s="260">
        <v>12.5</v>
      </c>
      <c r="E38" s="448">
        <v>81</v>
      </c>
      <c r="F38" s="449">
        <v>1.27</v>
      </c>
      <c r="H38" s="443">
        <v>42</v>
      </c>
      <c r="I38" s="443">
        <v>8</v>
      </c>
      <c r="J38" s="443">
        <v>7.1</v>
      </c>
      <c r="K38" s="443">
        <v>116</v>
      </c>
      <c r="O38" s="443">
        <v>0.2</v>
      </c>
      <c r="P38" s="444"/>
      <c r="Q38" s="444"/>
      <c r="R38" s="444">
        <v>32</v>
      </c>
      <c r="T38" s="445">
        <v>43</v>
      </c>
      <c r="X38" s="445">
        <v>39</v>
      </c>
      <c r="Z38" s="444">
        <v>971</v>
      </c>
      <c r="AD38" s="445">
        <v>40</v>
      </c>
      <c r="BA38" s="443">
        <v>3</v>
      </c>
      <c r="BC38" s="443">
        <v>9</v>
      </c>
      <c r="BG38" s="254"/>
      <c r="BH38" s="254"/>
      <c r="BI38" s="254"/>
      <c r="BJ38" s="254"/>
      <c r="BK38" s="254"/>
      <c r="BL38" s="254"/>
      <c r="CF38" s="366"/>
      <c r="CG38" s="368"/>
      <c r="DO38" s="376"/>
      <c r="DP38" s="372"/>
      <c r="DQ38" s="372"/>
    </row>
    <row r="39" spans="1:121" ht="16.149999999999999" customHeight="1" x14ac:dyDescent="0.35">
      <c r="A39" s="260">
        <v>23.31</v>
      </c>
      <c r="B39" s="260">
        <v>6.15</v>
      </c>
      <c r="C39" s="260">
        <v>12.5</v>
      </c>
      <c r="E39" s="448">
        <v>81</v>
      </c>
      <c r="F39" s="456">
        <v>1.4</v>
      </c>
      <c r="H39" s="443">
        <v>40</v>
      </c>
      <c r="I39" s="443">
        <v>4</v>
      </c>
      <c r="J39" s="443">
        <v>6.3</v>
      </c>
      <c r="K39" s="443">
        <v>146</v>
      </c>
      <c r="O39" s="443">
        <v>2.2999999999999998</v>
      </c>
      <c r="P39" s="444"/>
      <c r="Q39" s="444"/>
      <c r="R39" s="444">
        <v>32</v>
      </c>
      <c r="T39" s="445">
        <v>43</v>
      </c>
      <c r="X39" s="445">
        <v>40</v>
      </c>
      <c r="Z39" s="444">
        <v>897</v>
      </c>
      <c r="AD39" s="445">
        <v>42</v>
      </c>
      <c r="BA39" s="443">
        <v>3</v>
      </c>
      <c r="BC39" s="443">
        <v>9</v>
      </c>
      <c r="BG39" s="254"/>
      <c r="BH39" s="254"/>
      <c r="BI39" s="254"/>
      <c r="BJ39" s="254"/>
      <c r="BK39" s="254"/>
      <c r="BL39" s="254"/>
      <c r="CF39" s="366"/>
      <c r="CG39" s="368"/>
      <c r="DO39" s="376"/>
      <c r="DP39" s="372"/>
      <c r="DQ39" s="372"/>
    </row>
    <row r="40" spans="1:121" ht="16.149999999999999" customHeight="1" x14ac:dyDescent="0.35">
      <c r="A40" s="260">
        <v>28.79</v>
      </c>
      <c r="B40" s="260">
        <v>5.52</v>
      </c>
      <c r="C40" s="260">
        <v>12.5</v>
      </c>
      <c r="E40" s="448">
        <v>83</v>
      </c>
      <c r="F40" s="449">
        <v>1.04</v>
      </c>
      <c r="H40" s="443">
        <v>42</v>
      </c>
      <c r="I40" s="443">
        <v>6</v>
      </c>
      <c r="J40" s="455">
        <v>7</v>
      </c>
      <c r="K40" s="443">
        <v>140</v>
      </c>
      <c r="O40" s="443">
        <v>4.3</v>
      </c>
      <c r="P40" s="444"/>
      <c r="Q40" s="444"/>
      <c r="R40" s="444">
        <v>32</v>
      </c>
      <c r="T40" s="445">
        <v>43</v>
      </c>
      <c r="X40" s="445">
        <v>40</v>
      </c>
      <c r="Z40" s="444">
        <v>883</v>
      </c>
      <c r="AD40" s="445">
        <v>42</v>
      </c>
      <c r="BA40" s="443">
        <v>3</v>
      </c>
      <c r="BC40" s="443">
        <v>9</v>
      </c>
      <c r="BG40" s="254"/>
      <c r="BH40" s="254"/>
      <c r="BI40" s="254"/>
      <c r="BJ40" s="254"/>
      <c r="BK40" s="254"/>
      <c r="BL40" s="254"/>
      <c r="CF40" s="366"/>
      <c r="CG40" s="368"/>
      <c r="DO40" s="376"/>
      <c r="DP40" s="372"/>
      <c r="DQ40" s="372"/>
    </row>
    <row r="41" spans="1:121" ht="16.149999999999999" customHeight="1" x14ac:dyDescent="0.35">
      <c r="A41" s="260">
        <v>22.24</v>
      </c>
      <c r="B41" s="260">
        <v>6.08</v>
      </c>
      <c r="C41" s="260">
        <v>12.5</v>
      </c>
      <c r="E41" s="448">
        <v>82</v>
      </c>
      <c r="F41" s="449">
        <v>1.02</v>
      </c>
      <c r="H41" s="443">
        <v>42</v>
      </c>
      <c r="I41" s="443">
        <v>6</v>
      </c>
      <c r="J41" s="443">
        <v>6.3</v>
      </c>
      <c r="K41" s="443">
        <v>118</v>
      </c>
      <c r="O41" s="443">
        <v>0.8</v>
      </c>
      <c r="P41" s="444"/>
      <c r="Q41" s="444"/>
      <c r="R41" s="444">
        <v>32</v>
      </c>
      <c r="T41" s="445">
        <v>43</v>
      </c>
      <c r="X41" s="445">
        <v>40</v>
      </c>
      <c r="Z41" s="444">
        <v>859</v>
      </c>
      <c r="AD41" s="445">
        <v>45</v>
      </c>
      <c r="BA41" s="443">
        <v>3</v>
      </c>
      <c r="BC41" s="443">
        <v>9</v>
      </c>
      <c r="BG41" s="254"/>
      <c r="BH41" s="254"/>
      <c r="BI41" s="254"/>
      <c r="BJ41" s="254"/>
      <c r="BK41" s="254"/>
      <c r="BL41" s="254"/>
      <c r="CF41" s="366"/>
      <c r="CG41" s="368"/>
      <c r="DO41" s="376"/>
      <c r="DP41" s="372"/>
      <c r="DQ41" s="372"/>
    </row>
    <row r="42" spans="1:121" ht="16.149999999999999" customHeight="1" x14ac:dyDescent="0.35">
      <c r="A42" s="260">
        <v>24.65</v>
      </c>
      <c r="B42" s="260">
        <v>5.81</v>
      </c>
      <c r="C42" s="260">
        <v>12.5</v>
      </c>
      <c r="E42" s="448">
        <v>81</v>
      </c>
      <c r="F42" s="449">
        <v>1.52</v>
      </c>
      <c r="H42" s="443">
        <v>41</v>
      </c>
      <c r="I42" s="443">
        <v>3</v>
      </c>
      <c r="J42" s="443">
        <v>8.3000000000000007</v>
      </c>
      <c r="K42" s="443">
        <v>139</v>
      </c>
      <c r="O42" s="443">
        <v>0.8</v>
      </c>
      <c r="P42" s="444"/>
      <c r="Q42" s="444"/>
      <c r="R42" s="444">
        <v>32</v>
      </c>
      <c r="T42" s="445">
        <v>43</v>
      </c>
      <c r="X42" s="445">
        <v>40</v>
      </c>
      <c r="Z42" s="444">
        <v>1007</v>
      </c>
      <c r="BA42" s="443">
        <v>3</v>
      </c>
      <c r="BC42" s="443">
        <v>10</v>
      </c>
      <c r="BG42" s="254"/>
      <c r="BH42" s="254"/>
      <c r="BI42" s="254"/>
      <c r="BJ42" s="254"/>
      <c r="BK42" s="254"/>
      <c r="BL42" s="254"/>
      <c r="CF42" s="366"/>
      <c r="CG42" s="368"/>
      <c r="DO42" s="376"/>
      <c r="DP42" s="372"/>
      <c r="DQ42" s="372"/>
    </row>
    <row r="43" spans="1:121" ht="16.149999999999999" customHeight="1" x14ac:dyDescent="0.35">
      <c r="A43" s="260">
        <v>28.09</v>
      </c>
      <c r="B43" s="260">
        <v>6.01</v>
      </c>
      <c r="C43" s="260">
        <v>12.5</v>
      </c>
      <c r="E43" s="448">
        <v>85</v>
      </c>
      <c r="F43" s="449">
        <v>1.34</v>
      </c>
      <c r="H43" s="443">
        <v>40</v>
      </c>
      <c r="I43" s="443">
        <v>7</v>
      </c>
      <c r="J43" s="455">
        <v>8</v>
      </c>
      <c r="K43" s="443">
        <v>122</v>
      </c>
      <c r="O43" s="443">
        <v>0.9</v>
      </c>
      <c r="P43" s="444"/>
      <c r="Q43" s="444"/>
      <c r="R43" s="444">
        <v>33</v>
      </c>
      <c r="T43" s="445">
        <v>43</v>
      </c>
      <c r="X43" s="445">
        <v>40</v>
      </c>
      <c r="Z43" s="444">
        <v>1051</v>
      </c>
      <c r="BA43" s="443">
        <v>3</v>
      </c>
      <c r="BC43" s="443">
        <v>10</v>
      </c>
      <c r="BG43" s="254"/>
      <c r="BH43" s="254"/>
      <c r="BI43" s="254"/>
      <c r="BJ43" s="254"/>
      <c r="BK43" s="254"/>
      <c r="BL43" s="254"/>
      <c r="CF43" s="366"/>
      <c r="CG43" s="368"/>
      <c r="DO43" s="376"/>
      <c r="DP43" s="372"/>
      <c r="DQ43" s="372"/>
    </row>
    <row r="44" spans="1:121" ht="16.149999999999999" customHeight="1" x14ac:dyDescent="0.35">
      <c r="A44" s="260">
        <v>24.86</v>
      </c>
      <c r="B44" s="260">
        <v>6.45</v>
      </c>
      <c r="C44" s="260">
        <v>12.5</v>
      </c>
      <c r="E44" s="448">
        <v>83</v>
      </c>
      <c r="F44" s="449">
        <v>1.41</v>
      </c>
      <c r="H44" s="443">
        <v>44</v>
      </c>
      <c r="I44" s="443">
        <v>4</v>
      </c>
      <c r="J44" s="443">
        <v>6.8</v>
      </c>
      <c r="K44" s="443">
        <v>122</v>
      </c>
      <c r="O44" s="443">
        <v>0.9</v>
      </c>
      <c r="P44" s="444"/>
      <c r="Q44" s="444"/>
      <c r="R44" s="444">
        <v>33</v>
      </c>
      <c r="T44" s="445">
        <v>43</v>
      </c>
      <c r="X44" s="445">
        <v>40</v>
      </c>
      <c r="Z44" s="444">
        <v>1235</v>
      </c>
      <c r="BA44" s="443">
        <v>3</v>
      </c>
      <c r="BC44" s="443">
        <v>10</v>
      </c>
      <c r="BG44" s="254"/>
      <c r="BH44" s="254"/>
      <c r="BI44" s="254"/>
      <c r="BJ44" s="254"/>
      <c r="BK44" s="254"/>
      <c r="BL44" s="254"/>
      <c r="CF44" s="366"/>
      <c r="CG44" s="368"/>
      <c r="DO44" s="376"/>
      <c r="DP44" s="372"/>
      <c r="DQ44" s="372"/>
    </row>
    <row r="45" spans="1:121" ht="16.149999999999999" customHeight="1" x14ac:dyDescent="0.35">
      <c r="A45" s="260">
        <v>22.51</v>
      </c>
      <c r="B45" s="260">
        <v>5.32</v>
      </c>
      <c r="C45" s="260">
        <v>17.5</v>
      </c>
      <c r="E45" s="448">
        <v>79</v>
      </c>
      <c r="F45" s="449">
        <v>1.58</v>
      </c>
      <c r="H45" s="443">
        <v>39</v>
      </c>
      <c r="I45" s="443">
        <v>9</v>
      </c>
      <c r="J45" s="443">
        <v>6.3</v>
      </c>
      <c r="K45" s="443">
        <v>128</v>
      </c>
      <c r="O45" s="443">
        <v>6.7</v>
      </c>
      <c r="P45" s="444"/>
      <c r="Q45" s="444"/>
      <c r="R45" s="444">
        <v>33</v>
      </c>
      <c r="T45" s="445">
        <v>44</v>
      </c>
      <c r="X45" s="445">
        <v>40</v>
      </c>
      <c r="Z45" s="444">
        <v>1004</v>
      </c>
      <c r="BA45" s="443">
        <v>3</v>
      </c>
      <c r="BC45" s="443">
        <v>10</v>
      </c>
      <c r="BG45" s="254"/>
      <c r="BH45" s="254"/>
      <c r="BI45" s="254"/>
      <c r="BJ45" s="254"/>
      <c r="BK45" s="254"/>
      <c r="BL45" s="254"/>
      <c r="CF45" s="366"/>
      <c r="CG45" s="368"/>
      <c r="DO45" s="376"/>
      <c r="DP45" s="372"/>
      <c r="DQ45" s="372"/>
    </row>
    <row r="46" spans="1:121" ht="16.149999999999999" customHeight="1" x14ac:dyDescent="0.35">
      <c r="A46" s="260">
        <v>26.49</v>
      </c>
      <c r="B46" s="260">
        <v>6.25</v>
      </c>
      <c r="C46" s="260">
        <v>17.5</v>
      </c>
      <c r="E46" s="448">
        <v>81</v>
      </c>
      <c r="F46" s="449">
        <v>1.38</v>
      </c>
      <c r="H46" s="443">
        <v>42</v>
      </c>
      <c r="I46" s="443">
        <v>4</v>
      </c>
      <c r="J46" s="443">
        <v>8.3000000000000007</v>
      </c>
      <c r="K46" s="443">
        <v>136</v>
      </c>
      <c r="O46" s="443">
        <v>1.2</v>
      </c>
      <c r="P46" s="444"/>
      <c r="Q46" s="444"/>
      <c r="R46" s="444">
        <v>33</v>
      </c>
      <c r="T46" s="445">
        <v>44</v>
      </c>
      <c r="X46" s="445">
        <v>40</v>
      </c>
      <c r="Z46" s="444">
        <v>958</v>
      </c>
      <c r="BA46" s="443">
        <v>3</v>
      </c>
      <c r="BC46" s="443">
        <v>10</v>
      </c>
      <c r="BG46" s="254"/>
      <c r="BH46" s="254"/>
      <c r="BI46" s="254"/>
      <c r="BJ46" s="254"/>
      <c r="BK46" s="254"/>
      <c r="BL46" s="254"/>
      <c r="CF46" s="366"/>
      <c r="CG46" s="368"/>
      <c r="DO46" s="376"/>
      <c r="DP46" s="372"/>
      <c r="DQ46" s="372"/>
    </row>
    <row r="47" spans="1:121" ht="16.149999999999999" customHeight="1" x14ac:dyDescent="0.35">
      <c r="A47" s="260">
        <v>26.35</v>
      </c>
      <c r="B47" s="260">
        <v>6.02</v>
      </c>
      <c r="C47" s="260">
        <v>17.5</v>
      </c>
      <c r="E47" s="448">
        <v>81</v>
      </c>
      <c r="F47" s="449">
        <v>1.37</v>
      </c>
      <c r="H47" s="443">
        <v>44</v>
      </c>
      <c r="I47" s="443">
        <v>7</v>
      </c>
      <c r="J47" s="455">
        <v>7</v>
      </c>
      <c r="K47" s="443">
        <v>159</v>
      </c>
      <c r="O47" s="443">
        <v>2.2999999999999998</v>
      </c>
      <c r="P47" s="444"/>
      <c r="Q47" s="444"/>
      <c r="R47" s="444">
        <v>33</v>
      </c>
      <c r="T47" s="445">
        <v>44</v>
      </c>
      <c r="X47" s="445">
        <v>40</v>
      </c>
      <c r="Z47" s="444">
        <v>973</v>
      </c>
      <c r="BA47" s="443">
        <v>3</v>
      </c>
      <c r="BC47" s="443">
        <v>10</v>
      </c>
      <c r="BG47" s="254"/>
      <c r="BH47" s="254"/>
      <c r="BI47" s="254"/>
      <c r="BJ47" s="254"/>
      <c r="BK47" s="254"/>
      <c r="BL47" s="254"/>
      <c r="CF47" s="366"/>
      <c r="CG47" s="368"/>
      <c r="DO47" s="376"/>
      <c r="DP47" s="372"/>
      <c r="DQ47" s="372"/>
    </row>
    <row r="48" spans="1:121" ht="16.149999999999999" customHeight="1" x14ac:dyDescent="0.35">
      <c r="A48" s="260">
        <v>24.09</v>
      </c>
      <c r="B48" s="260">
        <v>7.23</v>
      </c>
      <c r="C48" s="260">
        <v>17.5</v>
      </c>
      <c r="E48" s="448">
        <v>81</v>
      </c>
      <c r="F48" s="449">
        <v>1.27</v>
      </c>
      <c r="H48" s="443">
        <v>42</v>
      </c>
      <c r="I48" s="443">
        <v>6</v>
      </c>
      <c r="J48" s="455">
        <v>7</v>
      </c>
      <c r="K48" s="443">
        <v>139</v>
      </c>
      <c r="O48" s="443">
        <v>4.7</v>
      </c>
      <c r="P48" s="444"/>
      <c r="Q48" s="444"/>
      <c r="R48" s="444">
        <v>33</v>
      </c>
      <c r="T48" s="445">
        <v>44</v>
      </c>
      <c r="X48" s="445">
        <v>40</v>
      </c>
      <c r="Z48" s="444">
        <v>992</v>
      </c>
      <c r="BA48" s="443">
        <v>3</v>
      </c>
      <c r="BC48" s="443">
        <v>10</v>
      </c>
      <c r="BG48" s="254"/>
      <c r="BH48" s="254"/>
      <c r="BI48" s="254"/>
      <c r="BJ48" s="254"/>
      <c r="BK48" s="254"/>
      <c r="BL48" s="254"/>
      <c r="CF48" s="366"/>
      <c r="CG48" s="368"/>
      <c r="DO48" s="376"/>
      <c r="DP48" s="372"/>
      <c r="DQ48" s="372"/>
    </row>
    <row r="49" spans="1:121" ht="16.149999999999999" customHeight="1" x14ac:dyDescent="0.35">
      <c r="A49" s="260">
        <v>23.73</v>
      </c>
      <c r="B49" s="260">
        <v>6.4</v>
      </c>
      <c r="C49" s="260">
        <v>17.5</v>
      </c>
      <c r="E49" s="448">
        <v>84</v>
      </c>
      <c r="F49" s="449">
        <v>1.51</v>
      </c>
      <c r="H49" s="443">
        <v>41</v>
      </c>
      <c r="I49" s="443">
        <v>4</v>
      </c>
      <c r="J49" s="455">
        <v>7</v>
      </c>
      <c r="K49" s="443">
        <v>167</v>
      </c>
      <c r="O49" s="455">
        <v>7</v>
      </c>
      <c r="P49" s="444"/>
      <c r="Q49" s="444"/>
      <c r="R49" s="444">
        <v>33</v>
      </c>
      <c r="T49" s="445">
        <v>45</v>
      </c>
      <c r="X49" s="445">
        <v>40</v>
      </c>
      <c r="Z49" s="444">
        <v>968</v>
      </c>
      <c r="BA49" s="443">
        <v>3</v>
      </c>
      <c r="BC49" s="443">
        <v>10</v>
      </c>
      <c r="BG49" s="254"/>
      <c r="BH49" s="254"/>
      <c r="BI49" s="254"/>
      <c r="BJ49" s="254"/>
      <c r="BK49" s="254"/>
      <c r="BL49" s="254"/>
      <c r="CF49" s="366"/>
      <c r="CG49" s="368"/>
      <c r="DO49" s="376"/>
      <c r="DP49" s="372"/>
      <c r="DQ49" s="372"/>
    </row>
    <row r="50" spans="1:121" ht="16.149999999999999" customHeight="1" x14ac:dyDescent="0.35">
      <c r="A50" s="260">
        <v>24.59</v>
      </c>
      <c r="B50" s="260">
        <v>6.31</v>
      </c>
      <c r="C50" s="260">
        <v>17.5</v>
      </c>
      <c r="E50" s="448">
        <v>81</v>
      </c>
      <c r="F50" s="449">
        <v>1.1200000000000001</v>
      </c>
      <c r="H50" s="443">
        <v>45</v>
      </c>
      <c r="I50" s="443">
        <v>2</v>
      </c>
      <c r="J50" s="443">
        <v>6.5</v>
      </c>
      <c r="K50" s="443">
        <v>158</v>
      </c>
      <c r="O50" s="443">
        <v>0.6</v>
      </c>
      <c r="P50" s="444"/>
      <c r="Q50" s="444"/>
      <c r="R50" s="444">
        <v>33</v>
      </c>
      <c r="T50" s="445">
        <v>45</v>
      </c>
      <c r="X50" s="445">
        <v>40</v>
      </c>
      <c r="Z50" s="444">
        <v>830</v>
      </c>
      <c r="BA50" s="443">
        <v>3</v>
      </c>
      <c r="BC50" s="443">
        <v>10</v>
      </c>
      <c r="BG50" s="254"/>
      <c r="BH50" s="254"/>
      <c r="BI50" s="254"/>
      <c r="BJ50" s="254"/>
      <c r="BK50" s="254"/>
      <c r="BL50" s="254"/>
      <c r="CF50" s="366"/>
      <c r="CG50" s="368"/>
      <c r="DO50" s="376"/>
      <c r="DP50" s="372"/>
      <c r="DQ50" s="372"/>
    </row>
    <row r="51" spans="1:121" ht="16.149999999999999" customHeight="1" x14ac:dyDescent="0.35">
      <c r="A51" s="260">
        <v>25.97</v>
      </c>
      <c r="B51" s="260">
        <v>6.59</v>
      </c>
      <c r="C51" s="260">
        <v>17.5</v>
      </c>
      <c r="E51" s="448">
        <v>82</v>
      </c>
      <c r="F51" s="449">
        <v>1.39</v>
      </c>
      <c r="H51" s="443">
        <v>43</v>
      </c>
      <c r="I51" s="443">
        <v>6</v>
      </c>
      <c r="K51" s="443">
        <v>132</v>
      </c>
      <c r="O51" s="443">
        <v>5.2</v>
      </c>
      <c r="P51" s="444"/>
      <c r="Q51" s="444"/>
      <c r="R51" s="444">
        <v>33</v>
      </c>
      <c r="T51" s="445">
        <v>45</v>
      </c>
      <c r="X51" s="445">
        <v>40</v>
      </c>
      <c r="Z51" s="444">
        <v>1047</v>
      </c>
      <c r="BA51" s="443">
        <v>3</v>
      </c>
      <c r="BC51" s="443">
        <v>10</v>
      </c>
      <c r="BG51" s="254"/>
      <c r="BH51" s="254"/>
      <c r="BI51" s="254"/>
      <c r="BJ51" s="254"/>
      <c r="BK51" s="254"/>
      <c r="BL51" s="254"/>
      <c r="CF51" s="366"/>
      <c r="CG51" s="368"/>
      <c r="DO51" s="376"/>
      <c r="DP51" s="372"/>
      <c r="DQ51" s="372"/>
    </row>
    <row r="52" spans="1:121" ht="16.149999999999999" customHeight="1" x14ac:dyDescent="0.35">
      <c r="C52" s="260">
        <v>17.5</v>
      </c>
      <c r="E52" s="448"/>
      <c r="F52" s="449">
        <v>1.37</v>
      </c>
      <c r="I52" s="443">
        <v>4</v>
      </c>
      <c r="K52" s="443">
        <v>157</v>
      </c>
      <c r="P52" s="444"/>
      <c r="Q52" s="444"/>
      <c r="R52" s="444">
        <v>33</v>
      </c>
      <c r="X52" s="445">
        <v>40</v>
      </c>
      <c r="Z52" s="444"/>
      <c r="BC52" s="443">
        <v>10</v>
      </c>
      <c r="BG52" s="254"/>
      <c r="BH52" s="254"/>
      <c r="BI52" s="254"/>
      <c r="BJ52" s="254"/>
      <c r="BK52" s="254"/>
      <c r="BL52" s="254"/>
      <c r="CF52" s="366"/>
      <c r="CG52" s="368"/>
      <c r="DO52" s="373"/>
      <c r="DP52" s="372"/>
      <c r="DQ52" s="372"/>
    </row>
    <row r="53" spans="1:121" ht="16.149999999999999" customHeight="1" x14ac:dyDescent="0.35">
      <c r="C53" s="260">
        <v>17.5</v>
      </c>
      <c r="E53" s="448"/>
      <c r="F53" s="449">
        <v>1.0900000000000001</v>
      </c>
      <c r="I53" s="443">
        <v>7</v>
      </c>
      <c r="K53" s="443">
        <v>142</v>
      </c>
      <c r="P53" s="444"/>
      <c r="Q53" s="444"/>
      <c r="R53" s="444">
        <v>33</v>
      </c>
      <c r="X53" s="445">
        <v>40</v>
      </c>
      <c r="Z53" s="444"/>
      <c r="BC53" s="443">
        <v>10</v>
      </c>
      <c r="BG53" s="254"/>
      <c r="BH53" s="254"/>
      <c r="BI53" s="254"/>
      <c r="BJ53" s="254"/>
      <c r="BK53" s="254"/>
      <c r="BL53" s="254"/>
      <c r="CF53" s="366"/>
      <c r="CG53" s="368"/>
      <c r="DO53" s="373"/>
      <c r="DP53" s="372"/>
      <c r="DQ53" s="372"/>
    </row>
    <row r="54" spans="1:121" ht="16.149999999999999" customHeight="1" x14ac:dyDescent="0.35">
      <c r="C54" s="260">
        <v>17.5</v>
      </c>
      <c r="E54" s="448"/>
      <c r="F54" s="449">
        <v>1.51</v>
      </c>
      <c r="I54" s="443">
        <v>7</v>
      </c>
      <c r="K54" s="443">
        <v>117</v>
      </c>
      <c r="P54" s="444"/>
      <c r="Q54" s="444"/>
      <c r="R54" s="444">
        <v>33</v>
      </c>
      <c r="X54" s="445">
        <v>40</v>
      </c>
      <c r="Z54" s="444"/>
      <c r="BC54" s="443">
        <v>10</v>
      </c>
      <c r="BG54" s="254"/>
      <c r="BH54" s="254"/>
      <c r="BI54" s="254"/>
      <c r="BJ54" s="254"/>
      <c r="BK54" s="254"/>
      <c r="BL54" s="254"/>
      <c r="CF54" s="366"/>
      <c r="CG54" s="368"/>
      <c r="DO54" s="373"/>
      <c r="DP54" s="372"/>
      <c r="DQ54" s="372"/>
    </row>
    <row r="55" spans="1:121" ht="16.149999999999999" customHeight="1" x14ac:dyDescent="0.35">
      <c r="C55" s="260">
        <v>17.5</v>
      </c>
      <c r="E55" s="448"/>
      <c r="F55" s="449">
        <v>1.19</v>
      </c>
      <c r="I55" s="443">
        <v>9</v>
      </c>
      <c r="K55" s="443">
        <v>134</v>
      </c>
      <c r="P55" s="444"/>
      <c r="Q55" s="444"/>
      <c r="R55" s="444">
        <v>33</v>
      </c>
      <c r="X55" s="445">
        <v>40</v>
      </c>
      <c r="Z55" s="444"/>
      <c r="BC55" s="443">
        <v>10</v>
      </c>
      <c r="BG55" s="254"/>
      <c r="BH55" s="254"/>
      <c r="BI55" s="254"/>
      <c r="BJ55" s="254"/>
      <c r="BK55" s="254"/>
      <c r="BL55" s="254"/>
      <c r="CF55" s="366"/>
      <c r="CG55" s="368"/>
      <c r="DO55" s="373"/>
      <c r="DP55" s="372"/>
      <c r="DQ55" s="372"/>
    </row>
    <row r="56" spans="1:121" ht="16.149999999999999" customHeight="1" x14ac:dyDescent="0.35">
      <c r="C56" s="260">
        <v>17.5</v>
      </c>
      <c r="E56" s="448"/>
      <c r="F56" s="449">
        <v>1.43</v>
      </c>
      <c r="I56" s="443">
        <v>7</v>
      </c>
      <c r="K56" s="443">
        <v>126</v>
      </c>
      <c r="P56" s="444"/>
      <c r="Q56" s="444"/>
      <c r="R56" s="444">
        <v>33</v>
      </c>
      <c r="X56" s="445">
        <v>40</v>
      </c>
      <c r="Z56" s="444"/>
      <c r="BC56" s="443">
        <v>11</v>
      </c>
      <c r="BG56" s="254"/>
      <c r="BH56" s="254"/>
      <c r="BI56" s="254"/>
      <c r="BJ56" s="254"/>
      <c r="BK56" s="254"/>
      <c r="BL56" s="254"/>
      <c r="CF56" s="366"/>
      <c r="CG56" s="368"/>
      <c r="DO56" s="373"/>
      <c r="DP56" s="372"/>
      <c r="DQ56" s="372"/>
    </row>
    <row r="57" spans="1:121" ht="16.149999999999999" customHeight="1" x14ac:dyDescent="0.35">
      <c r="C57" s="260">
        <v>17.5</v>
      </c>
      <c r="E57" s="448"/>
      <c r="F57" s="449">
        <v>1.63</v>
      </c>
      <c r="I57" s="443">
        <v>5</v>
      </c>
      <c r="K57" s="443">
        <v>150</v>
      </c>
      <c r="P57" s="444"/>
      <c r="Q57" s="444"/>
      <c r="R57" s="444">
        <v>33</v>
      </c>
      <c r="X57" s="445">
        <v>40</v>
      </c>
      <c r="Z57" s="444"/>
      <c r="BC57" s="443">
        <v>11</v>
      </c>
      <c r="BG57" s="254"/>
      <c r="BH57" s="254"/>
      <c r="BI57" s="254"/>
      <c r="BJ57" s="254"/>
      <c r="BK57" s="254"/>
      <c r="BL57" s="254"/>
      <c r="CF57" s="366"/>
      <c r="CG57" s="368"/>
      <c r="DO57" s="373"/>
      <c r="DP57" s="372"/>
      <c r="DQ57" s="372"/>
    </row>
    <row r="58" spans="1:121" ht="16.149999999999999" customHeight="1" x14ac:dyDescent="0.35">
      <c r="C58" s="260">
        <v>17.5</v>
      </c>
      <c r="E58" s="448"/>
      <c r="F58" s="449">
        <v>1.01</v>
      </c>
      <c r="I58" s="443">
        <v>7</v>
      </c>
      <c r="K58" s="443">
        <v>129</v>
      </c>
      <c r="P58" s="444"/>
      <c r="Q58" s="444"/>
      <c r="R58" s="444">
        <v>33</v>
      </c>
      <c r="X58" s="445">
        <v>40</v>
      </c>
      <c r="Z58" s="444"/>
      <c r="BC58" s="443">
        <v>11</v>
      </c>
      <c r="BG58" s="254"/>
      <c r="BH58" s="254"/>
      <c r="BI58" s="254"/>
      <c r="BJ58" s="254"/>
      <c r="BK58" s="254"/>
      <c r="BL58" s="254"/>
      <c r="CF58" s="366"/>
      <c r="CG58" s="368"/>
      <c r="DO58" s="373"/>
      <c r="DP58" s="372"/>
      <c r="DQ58" s="372"/>
    </row>
    <row r="59" spans="1:121" ht="16.149999999999999" customHeight="1" x14ac:dyDescent="0.35">
      <c r="C59" s="260">
        <v>17.5</v>
      </c>
      <c r="E59" s="448"/>
      <c r="F59" s="449">
        <v>1.47</v>
      </c>
      <c r="I59" s="443">
        <v>4</v>
      </c>
      <c r="K59" s="443">
        <v>115</v>
      </c>
      <c r="P59" s="444"/>
      <c r="Q59" s="444"/>
      <c r="R59" s="444">
        <v>33</v>
      </c>
      <c r="X59" s="445">
        <v>40</v>
      </c>
      <c r="Z59" s="444"/>
      <c r="BC59" s="443">
        <v>11</v>
      </c>
      <c r="BG59" s="254"/>
      <c r="BH59" s="254"/>
      <c r="BI59" s="254"/>
      <c r="BJ59" s="254"/>
      <c r="BK59" s="254"/>
      <c r="BL59" s="254"/>
      <c r="CF59" s="366"/>
      <c r="CG59" s="368"/>
      <c r="DO59" s="373"/>
      <c r="DP59" s="372"/>
      <c r="DQ59" s="372"/>
    </row>
    <row r="60" spans="1:121" ht="16.149999999999999" customHeight="1" x14ac:dyDescent="0.35">
      <c r="C60" s="260">
        <v>17.5</v>
      </c>
      <c r="E60" s="448"/>
      <c r="F60" s="449">
        <v>1.17</v>
      </c>
      <c r="I60" s="443">
        <v>6</v>
      </c>
      <c r="K60" s="443">
        <v>146</v>
      </c>
      <c r="P60" s="444"/>
      <c r="Q60" s="444"/>
      <c r="R60" s="444">
        <v>33</v>
      </c>
      <c r="X60" s="445">
        <v>40</v>
      </c>
      <c r="Z60" s="444"/>
      <c r="BC60" s="443">
        <v>11</v>
      </c>
      <c r="BG60" s="254"/>
      <c r="BH60" s="254"/>
      <c r="BI60" s="254"/>
      <c r="BJ60" s="254"/>
      <c r="BK60" s="254"/>
      <c r="BL60" s="254"/>
      <c r="CF60" s="366"/>
      <c r="CG60" s="368"/>
      <c r="DO60" s="373"/>
      <c r="DP60" s="372"/>
      <c r="DQ60" s="372"/>
    </row>
    <row r="61" spans="1:121" ht="16.149999999999999" customHeight="1" x14ac:dyDescent="0.35">
      <c r="C61" s="260">
        <v>17.5</v>
      </c>
      <c r="E61" s="448"/>
      <c r="F61" s="449">
        <v>1.28</v>
      </c>
      <c r="I61" s="443">
        <v>6</v>
      </c>
      <c r="K61" s="443">
        <v>153</v>
      </c>
      <c r="P61" s="444"/>
      <c r="Q61" s="444"/>
      <c r="R61" s="444">
        <v>33</v>
      </c>
      <c r="X61" s="445">
        <v>40</v>
      </c>
      <c r="Z61" s="444"/>
      <c r="BC61" s="443">
        <v>11</v>
      </c>
      <c r="BG61" s="254"/>
      <c r="BH61" s="254"/>
      <c r="BI61" s="254"/>
      <c r="BJ61" s="254"/>
      <c r="BK61" s="254"/>
      <c r="BL61" s="254"/>
      <c r="CF61" s="366"/>
      <c r="CG61" s="368"/>
      <c r="DO61" s="373"/>
      <c r="DP61" s="372"/>
      <c r="DQ61" s="372"/>
    </row>
    <row r="62" spans="1:121" ht="16.149999999999999" customHeight="1" x14ac:dyDescent="0.35">
      <c r="C62" s="260">
        <v>17.5</v>
      </c>
      <c r="E62" s="448"/>
      <c r="K62" s="443">
        <v>152</v>
      </c>
      <c r="P62" s="444"/>
      <c r="Q62" s="444"/>
      <c r="R62" s="444">
        <v>33</v>
      </c>
      <c r="X62" s="445">
        <v>40</v>
      </c>
      <c r="Z62" s="444"/>
      <c r="BC62" s="443">
        <v>11</v>
      </c>
      <c r="BG62" s="254"/>
      <c r="BH62" s="254"/>
      <c r="BI62" s="254"/>
      <c r="BJ62" s="254"/>
      <c r="BK62" s="254"/>
      <c r="BL62" s="254"/>
      <c r="CF62" s="366"/>
      <c r="DO62" s="373"/>
      <c r="DP62" s="372"/>
      <c r="DQ62" s="372"/>
    </row>
    <row r="63" spans="1:121" ht="16.149999999999999" customHeight="1" x14ac:dyDescent="0.35">
      <c r="C63" s="260">
        <v>17.5</v>
      </c>
      <c r="E63" s="448"/>
      <c r="K63" s="443">
        <v>157</v>
      </c>
      <c r="P63" s="444"/>
      <c r="Q63" s="444"/>
      <c r="R63" s="444">
        <v>33</v>
      </c>
      <c r="X63" s="445">
        <v>40</v>
      </c>
      <c r="Z63" s="444"/>
      <c r="BC63" s="443">
        <v>11</v>
      </c>
      <c r="BG63" s="254"/>
      <c r="BH63" s="254"/>
      <c r="BI63" s="254"/>
      <c r="BJ63" s="254"/>
      <c r="BK63" s="254"/>
      <c r="BL63" s="254"/>
      <c r="CF63" s="366"/>
      <c r="DO63" s="373"/>
      <c r="DP63" s="372"/>
      <c r="DQ63" s="372"/>
    </row>
    <row r="64" spans="1:121" ht="16.149999999999999" customHeight="1" x14ac:dyDescent="0.35">
      <c r="C64" s="260">
        <v>17.5</v>
      </c>
      <c r="E64" s="448"/>
      <c r="K64" s="443">
        <v>133</v>
      </c>
      <c r="P64" s="444"/>
      <c r="Q64" s="444"/>
      <c r="R64" s="444">
        <v>33</v>
      </c>
      <c r="X64" s="445">
        <v>40</v>
      </c>
      <c r="Z64" s="444"/>
      <c r="BC64" s="443">
        <v>11</v>
      </c>
      <c r="BG64" s="254"/>
      <c r="BH64" s="254"/>
      <c r="BI64" s="254"/>
      <c r="BJ64" s="254"/>
      <c r="BK64" s="254"/>
      <c r="BL64" s="254"/>
      <c r="CF64" s="366"/>
      <c r="DO64" s="373"/>
      <c r="DP64" s="372"/>
      <c r="DQ64" s="372"/>
    </row>
    <row r="65" spans="3:84" ht="16.149999999999999" customHeight="1" x14ac:dyDescent="0.35">
      <c r="C65" s="260">
        <v>17.5</v>
      </c>
      <c r="E65" s="448"/>
      <c r="K65" s="443">
        <v>158</v>
      </c>
      <c r="R65" s="444">
        <v>33</v>
      </c>
      <c r="X65" s="445">
        <v>40</v>
      </c>
      <c r="BC65" s="443">
        <v>11</v>
      </c>
      <c r="BG65" s="254"/>
      <c r="BH65" s="254"/>
      <c r="BI65" s="254"/>
      <c r="BJ65" s="254"/>
      <c r="BK65" s="254"/>
      <c r="BL65" s="254"/>
      <c r="CF65" s="366"/>
    </row>
    <row r="66" spans="3:84" ht="16.149999999999999" customHeight="1" x14ac:dyDescent="0.35">
      <c r="C66" s="260">
        <v>17.5</v>
      </c>
      <c r="E66" s="448"/>
      <c r="K66" s="443">
        <v>143</v>
      </c>
      <c r="R66" s="444">
        <v>33</v>
      </c>
      <c r="X66" s="445">
        <v>40</v>
      </c>
      <c r="BC66" s="443">
        <v>11</v>
      </c>
      <c r="BG66" s="254"/>
      <c r="BH66" s="254"/>
      <c r="BI66" s="254"/>
      <c r="BJ66" s="254"/>
      <c r="BK66" s="254"/>
      <c r="BL66" s="254"/>
      <c r="CF66" s="366"/>
    </row>
    <row r="67" spans="3:84" ht="16.149999999999999" customHeight="1" x14ac:dyDescent="0.35">
      <c r="C67" s="260">
        <v>17.5</v>
      </c>
      <c r="E67" s="448"/>
      <c r="K67" s="443">
        <v>111</v>
      </c>
      <c r="R67" s="444">
        <v>33</v>
      </c>
      <c r="X67" s="445">
        <v>40</v>
      </c>
      <c r="BC67" s="443">
        <v>12</v>
      </c>
      <c r="BG67" s="254"/>
      <c r="BH67" s="254"/>
      <c r="BI67" s="254"/>
      <c r="BJ67" s="254"/>
      <c r="BK67" s="254"/>
      <c r="BL67" s="254"/>
      <c r="CF67" s="366"/>
    </row>
    <row r="68" spans="3:84" ht="16.149999999999999" customHeight="1" x14ac:dyDescent="0.35">
      <c r="C68" s="260">
        <v>17.5</v>
      </c>
      <c r="E68" s="448"/>
      <c r="K68" s="443">
        <v>136</v>
      </c>
      <c r="R68" s="444">
        <v>33</v>
      </c>
      <c r="X68" s="445">
        <v>40</v>
      </c>
      <c r="BC68" s="443">
        <v>12</v>
      </c>
      <c r="BG68" s="254"/>
      <c r="BH68" s="254"/>
      <c r="BI68" s="254"/>
      <c r="BJ68" s="254"/>
      <c r="BK68" s="254"/>
      <c r="BL68" s="254"/>
      <c r="CF68" s="366"/>
    </row>
    <row r="69" spans="3:84" ht="16.149999999999999" customHeight="1" x14ac:dyDescent="0.35">
      <c r="C69" s="260">
        <v>17.5</v>
      </c>
      <c r="E69" s="448"/>
      <c r="K69" s="443">
        <v>120</v>
      </c>
      <c r="R69" s="444">
        <v>33</v>
      </c>
      <c r="X69" s="445">
        <v>40</v>
      </c>
      <c r="BC69" s="443">
        <v>12</v>
      </c>
      <c r="BG69" s="254"/>
      <c r="BH69" s="254"/>
      <c r="BI69" s="254"/>
      <c r="BJ69" s="254"/>
      <c r="BK69" s="254"/>
      <c r="BL69" s="254"/>
      <c r="CF69" s="366"/>
    </row>
    <row r="70" spans="3:84" ht="16.149999999999999" customHeight="1" x14ac:dyDescent="0.35">
      <c r="C70" s="260">
        <v>17.5</v>
      </c>
      <c r="E70" s="448"/>
      <c r="K70" s="443">
        <v>164</v>
      </c>
      <c r="R70" s="444">
        <v>33</v>
      </c>
      <c r="X70" s="445">
        <v>40</v>
      </c>
      <c r="BC70" s="443">
        <v>12</v>
      </c>
      <c r="BG70" s="254"/>
      <c r="BH70" s="254"/>
      <c r="BI70" s="254"/>
      <c r="BJ70" s="254"/>
      <c r="BK70" s="254"/>
      <c r="BL70" s="254"/>
      <c r="CF70" s="366"/>
    </row>
    <row r="71" spans="3:84" ht="16.149999999999999" customHeight="1" x14ac:dyDescent="0.35">
      <c r="C71" s="260">
        <v>17.5</v>
      </c>
      <c r="E71" s="448"/>
      <c r="K71" s="443">
        <v>118</v>
      </c>
      <c r="R71" s="444">
        <v>33</v>
      </c>
      <c r="X71" s="445">
        <v>40</v>
      </c>
      <c r="BC71" s="443">
        <v>12</v>
      </c>
      <c r="BG71" s="254"/>
      <c r="BH71" s="254"/>
      <c r="BI71" s="254"/>
      <c r="BJ71" s="254"/>
      <c r="BK71" s="254"/>
      <c r="BL71" s="254"/>
      <c r="CF71" s="366"/>
    </row>
    <row r="72" spans="3:84" ht="16.149999999999999" customHeight="1" x14ac:dyDescent="0.35">
      <c r="C72" s="260">
        <v>17.5</v>
      </c>
      <c r="E72" s="448"/>
      <c r="R72" s="444">
        <v>33</v>
      </c>
      <c r="X72" s="445">
        <v>40</v>
      </c>
      <c r="BC72" s="443">
        <v>12</v>
      </c>
      <c r="BG72" s="254"/>
      <c r="BH72" s="254"/>
      <c r="BI72" s="254"/>
      <c r="BJ72" s="254"/>
      <c r="BK72" s="254"/>
      <c r="BL72" s="254"/>
      <c r="CF72" s="366"/>
    </row>
    <row r="73" spans="3:84" ht="16.149999999999999" customHeight="1" x14ac:dyDescent="0.35">
      <c r="C73" s="260">
        <v>17.5</v>
      </c>
      <c r="E73" s="448"/>
      <c r="R73" s="444">
        <v>33</v>
      </c>
      <c r="X73" s="445">
        <v>40</v>
      </c>
      <c r="BC73" s="443">
        <v>12</v>
      </c>
      <c r="BG73" s="254"/>
      <c r="BH73" s="254"/>
      <c r="BI73" s="254"/>
      <c r="BJ73" s="254"/>
      <c r="BK73" s="254"/>
      <c r="BL73" s="254"/>
      <c r="CF73" s="366"/>
    </row>
    <row r="74" spans="3:84" ht="16.149999999999999" customHeight="1" x14ac:dyDescent="0.35">
      <c r="C74" s="260">
        <v>17.5</v>
      </c>
      <c r="E74" s="448"/>
      <c r="R74" s="444">
        <v>33</v>
      </c>
      <c r="X74" s="445">
        <v>40</v>
      </c>
      <c r="BC74" s="443">
        <v>12</v>
      </c>
      <c r="BG74" s="254"/>
      <c r="BH74" s="254"/>
      <c r="BI74" s="254"/>
      <c r="BJ74" s="254"/>
      <c r="BK74" s="254"/>
      <c r="BL74" s="254"/>
      <c r="CF74" s="366"/>
    </row>
    <row r="75" spans="3:84" ht="16.149999999999999" customHeight="1" x14ac:dyDescent="0.35">
      <c r="C75" s="260">
        <v>17.5</v>
      </c>
      <c r="E75" s="448"/>
      <c r="R75" s="444">
        <v>33</v>
      </c>
      <c r="X75" s="445">
        <v>40</v>
      </c>
      <c r="BC75" s="443">
        <v>12</v>
      </c>
      <c r="BG75" s="254"/>
      <c r="BH75" s="254"/>
      <c r="BI75" s="254"/>
      <c r="BJ75" s="254"/>
      <c r="BK75" s="254"/>
      <c r="BL75" s="254"/>
      <c r="CF75" s="366"/>
    </row>
    <row r="76" spans="3:84" ht="16.149999999999999" customHeight="1" x14ac:dyDescent="0.35">
      <c r="C76" s="260">
        <v>17.5</v>
      </c>
      <c r="E76" s="448"/>
      <c r="R76" s="444">
        <v>33</v>
      </c>
      <c r="X76" s="445">
        <v>40</v>
      </c>
      <c r="BC76" s="443">
        <v>12</v>
      </c>
      <c r="BG76" s="254"/>
      <c r="BH76" s="254"/>
      <c r="BI76" s="254"/>
      <c r="BJ76" s="254"/>
      <c r="BK76" s="254"/>
      <c r="BL76" s="254"/>
      <c r="CF76" s="366"/>
    </row>
    <row r="77" spans="3:84" ht="16.149999999999999" customHeight="1" x14ac:dyDescent="0.35">
      <c r="C77" s="260">
        <v>22.5</v>
      </c>
      <c r="E77" s="448"/>
      <c r="R77" s="444">
        <v>33</v>
      </c>
      <c r="X77" s="445">
        <v>40</v>
      </c>
      <c r="BC77" s="443">
        <v>13</v>
      </c>
      <c r="BG77" s="254"/>
      <c r="BH77" s="254"/>
      <c r="BI77" s="254"/>
      <c r="BJ77" s="254"/>
      <c r="BK77" s="254"/>
      <c r="BL77" s="254"/>
      <c r="CF77" s="366"/>
    </row>
    <row r="78" spans="3:84" ht="16.149999999999999" customHeight="1" x14ac:dyDescent="0.35">
      <c r="C78" s="260">
        <v>22.5</v>
      </c>
      <c r="E78" s="448"/>
      <c r="R78" s="444">
        <v>33</v>
      </c>
      <c r="X78" s="445">
        <v>40</v>
      </c>
      <c r="BC78" s="443">
        <v>13</v>
      </c>
      <c r="BG78" s="254"/>
      <c r="BH78" s="254"/>
      <c r="BI78" s="254"/>
      <c r="BJ78" s="254"/>
      <c r="BK78" s="254"/>
      <c r="BL78" s="254"/>
      <c r="CF78" s="366"/>
    </row>
    <row r="79" spans="3:84" ht="16.149999999999999" customHeight="1" x14ac:dyDescent="0.35">
      <c r="C79" s="260">
        <v>22.5</v>
      </c>
      <c r="E79" s="448"/>
      <c r="R79" s="444">
        <v>33</v>
      </c>
      <c r="X79" s="445">
        <v>40</v>
      </c>
      <c r="BC79" s="443">
        <v>13</v>
      </c>
      <c r="BG79" s="254"/>
      <c r="BH79" s="254"/>
      <c r="BI79" s="254"/>
      <c r="BJ79" s="254"/>
      <c r="BK79" s="254"/>
      <c r="BL79" s="254"/>
      <c r="CF79" s="366"/>
    </row>
    <row r="80" spans="3:84" ht="16.149999999999999" customHeight="1" x14ac:dyDescent="0.35">
      <c r="C80" s="260">
        <v>22.5</v>
      </c>
      <c r="E80" s="448"/>
      <c r="R80" s="444">
        <v>33</v>
      </c>
      <c r="X80" s="445">
        <v>40</v>
      </c>
      <c r="BC80" s="443">
        <v>13</v>
      </c>
      <c r="BG80" s="254"/>
      <c r="BH80" s="254"/>
      <c r="BI80" s="254"/>
      <c r="BJ80" s="254"/>
      <c r="BK80" s="254"/>
      <c r="BL80" s="254"/>
      <c r="CF80" s="366"/>
    </row>
    <row r="81" spans="3:84" ht="16.149999999999999" customHeight="1" x14ac:dyDescent="0.35">
      <c r="C81" s="260">
        <v>22.5</v>
      </c>
      <c r="E81" s="448"/>
      <c r="R81" s="444">
        <v>33</v>
      </c>
      <c r="X81" s="445">
        <v>40</v>
      </c>
      <c r="BC81" s="443">
        <v>13</v>
      </c>
      <c r="BG81" s="254"/>
      <c r="BH81" s="254"/>
      <c r="BI81" s="254"/>
      <c r="BJ81" s="254"/>
      <c r="BK81" s="254"/>
      <c r="BL81" s="254"/>
      <c r="CF81" s="366"/>
    </row>
    <row r="82" spans="3:84" ht="16.149999999999999" customHeight="1" x14ac:dyDescent="0.35">
      <c r="C82" s="260">
        <v>22.5</v>
      </c>
      <c r="E82" s="448"/>
      <c r="R82" s="444">
        <v>33</v>
      </c>
      <c r="X82" s="445">
        <v>41</v>
      </c>
      <c r="BC82" s="443">
        <v>13</v>
      </c>
      <c r="BG82" s="254"/>
      <c r="BH82" s="254"/>
      <c r="BI82" s="254"/>
      <c r="BJ82" s="254"/>
      <c r="BK82" s="254"/>
      <c r="BL82" s="254"/>
      <c r="CF82" s="366"/>
    </row>
    <row r="83" spans="3:84" ht="16.149999999999999" customHeight="1" x14ac:dyDescent="0.35">
      <c r="C83" s="260">
        <v>22.5</v>
      </c>
      <c r="E83" s="448"/>
      <c r="R83" s="444">
        <v>33</v>
      </c>
      <c r="X83" s="445">
        <v>41</v>
      </c>
      <c r="BC83" s="443">
        <v>13</v>
      </c>
      <c r="BG83" s="254"/>
      <c r="BH83" s="254"/>
      <c r="BI83" s="254"/>
      <c r="BJ83" s="254"/>
      <c r="BK83" s="254"/>
      <c r="BL83" s="254"/>
      <c r="CF83" s="366"/>
    </row>
    <row r="84" spans="3:84" ht="16.149999999999999" customHeight="1" x14ac:dyDescent="0.35">
      <c r="C84" s="260">
        <v>22.5</v>
      </c>
      <c r="E84" s="448"/>
      <c r="R84" s="444">
        <v>33</v>
      </c>
      <c r="X84" s="445">
        <v>41</v>
      </c>
      <c r="BC84" s="443">
        <v>13</v>
      </c>
      <c r="BG84" s="254"/>
      <c r="BH84" s="254"/>
      <c r="BI84" s="254"/>
      <c r="BJ84" s="254"/>
      <c r="BK84" s="254"/>
      <c r="BL84" s="254"/>
      <c r="CF84" s="366"/>
    </row>
    <row r="85" spans="3:84" ht="16.149999999999999" customHeight="1" x14ac:dyDescent="0.35">
      <c r="C85" s="260">
        <v>22.5</v>
      </c>
      <c r="E85" s="448"/>
      <c r="R85" s="444">
        <v>33</v>
      </c>
      <c r="X85" s="445">
        <v>41</v>
      </c>
      <c r="BC85" s="443">
        <v>13</v>
      </c>
      <c r="BG85" s="254"/>
      <c r="BH85" s="254"/>
      <c r="BI85" s="254"/>
      <c r="BJ85" s="254"/>
      <c r="BK85" s="254"/>
      <c r="BL85" s="254"/>
      <c r="CF85" s="366"/>
    </row>
    <row r="86" spans="3:84" ht="16.149999999999999" customHeight="1" x14ac:dyDescent="0.35">
      <c r="C86" s="260">
        <v>22.5</v>
      </c>
      <c r="E86" s="448"/>
      <c r="R86" s="444">
        <v>33</v>
      </c>
      <c r="X86" s="445">
        <v>41</v>
      </c>
      <c r="BC86" s="443">
        <v>14</v>
      </c>
      <c r="BG86" s="254"/>
      <c r="BH86" s="254"/>
      <c r="BI86" s="254"/>
      <c r="BJ86" s="254"/>
      <c r="BK86" s="254"/>
      <c r="BL86" s="254"/>
      <c r="CF86" s="366"/>
    </row>
    <row r="87" spans="3:84" ht="16.149999999999999" customHeight="1" x14ac:dyDescent="0.35">
      <c r="C87" s="260">
        <v>22.5</v>
      </c>
      <c r="E87" s="448"/>
      <c r="R87" s="444">
        <v>33</v>
      </c>
      <c r="X87" s="445">
        <v>41</v>
      </c>
      <c r="BC87" s="443">
        <v>14</v>
      </c>
      <c r="BG87" s="254"/>
      <c r="BH87" s="254"/>
      <c r="BI87" s="254"/>
      <c r="BJ87" s="254"/>
      <c r="BK87" s="254"/>
      <c r="BL87" s="254"/>
      <c r="CF87" s="366"/>
    </row>
    <row r="88" spans="3:84" ht="16.149999999999999" customHeight="1" x14ac:dyDescent="0.35">
      <c r="C88" s="260">
        <v>22.5</v>
      </c>
      <c r="E88" s="448"/>
      <c r="R88" s="444">
        <v>33</v>
      </c>
      <c r="X88" s="445">
        <v>41</v>
      </c>
      <c r="BC88" s="443">
        <v>14</v>
      </c>
      <c r="BG88" s="254"/>
      <c r="BH88" s="254"/>
      <c r="BI88" s="254"/>
      <c r="BJ88" s="254"/>
      <c r="BK88" s="254"/>
      <c r="BL88" s="254"/>
      <c r="CF88" s="366"/>
    </row>
    <row r="89" spans="3:84" ht="16.149999999999999" customHeight="1" x14ac:dyDescent="0.35">
      <c r="C89" s="260">
        <v>22.5</v>
      </c>
      <c r="E89" s="448"/>
      <c r="R89" s="444">
        <v>33</v>
      </c>
      <c r="X89" s="445">
        <v>41</v>
      </c>
      <c r="BC89" s="443">
        <v>14</v>
      </c>
      <c r="BG89" s="254"/>
      <c r="BH89" s="254"/>
      <c r="BI89" s="254"/>
      <c r="BJ89" s="254"/>
      <c r="BK89" s="254"/>
      <c r="BL89" s="254"/>
      <c r="CF89" s="366"/>
    </row>
    <row r="90" spans="3:84" ht="16.149999999999999" customHeight="1" x14ac:dyDescent="0.35">
      <c r="C90" s="260">
        <v>22.5</v>
      </c>
      <c r="E90" s="448"/>
      <c r="R90" s="444">
        <v>33</v>
      </c>
      <c r="X90" s="445">
        <v>41</v>
      </c>
      <c r="BC90" s="443">
        <v>14</v>
      </c>
      <c r="BG90" s="254"/>
      <c r="BH90" s="254"/>
      <c r="BI90" s="254"/>
      <c r="BJ90" s="254"/>
      <c r="BK90" s="254"/>
      <c r="BL90" s="254"/>
      <c r="CF90" s="366"/>
    </row>
    <row r="91" spans="3:84" ht="16.149999999999999" customHeight="1" x14ac:dyDescent="0.35">
      <c r="C91" s="260">
        <v>22.5</v>
      </c>
      <c r="E91" s="448"/>
      <c r="R91" s="444">
        <v>33</v>
      </c>
      <c r="X91" s="445">
        <v>41</v>
      </c>
      <c r="BC91" s="443">
        <v>14</v>
      </c>
      <c r="BG91" s="254"/>
      <c r="BH91" s="254"/>
      <c r="BI91" s="254"/>
      <c r="BJ91" s="254"/>
      <c r="BK91" s="254"/>
      <c r="BL91" s="254"/>
      <c r="CF91" s="366"/>
    </row>
    <row r="92" spans="3:84" ht="16.149999999999999" customHeight="1" x14ac:dyDescent="0.35">
      <c r="C92" s="261">
        <v>27.5</v>
      </c>
      <c r="E92" s="448"/>
      <c r="R92" s="444">
        <v>33</v>
      </c>
      <c r="X92" s="445">
        <v>41</v>
      </c>
      <c r="BC92" s="443">
        <v>14</v>
      </c>
      <c r="BG92" s="254"/>
      <c r="BH92" s="254"/>
      <c r="BI92" s="254"/>
      <c r="BJ92" s="254"/>
      <c r="BK92" s="254"/>
      <c r="BL92" s="254"/>
      <c r="CF92" s="366"/>
    </row>
    <row r="93" spans="3:84" ht="16.149999999999999" customHeight="1" x14ac:dyDescent="0.35">
      <c r="C93" s="261">
        <v>27.5</v>
      </c>
      <c r="E93" s="448"/>
      <c r="R93" s="444">
        <v>33</v>
      </c>
      <c r="X93" s="445">
        <v>41</v>
      </c>
      <c r="BC93" s="443">
        <v>14</v>
      </c>
      <c r="BG93" s="254"/>
      <c r="BH93" s="254"/>
      <c r="BI93" s="254"/>
      <c r="BJ93" s="254"/>
      <c r="BK93" s="254"/>
      <c r="BL93" s="254"/>
      <c r="CF93" s="366"/>
    </row>
    <row r="94" spans="3:84" ht="16.149999999999999" customHeight="1" x14ac:dyDescent="0.35">
      <c r="C94" s="261">
        <v>27.5</v>
      </c>
      <c r="E94" s="448"/>
      <c r="R94" s="444">
        <v>33</v>
      </c>
      <c r="X94" s="445">
        <v>41</v>
      </c>
      <c r="BC94" s="443">
        <v>14</v>
      </c>
      <c r="BG94" s="254"/>
      <c r="BH94" s="254"/>
      <c r="BI94" s="254"/>
      <c r="BJ94" s="254"/>
      <c r="BK94" s="254"/>
      <c r="BL94" s="254"/>
      <c r="CF94" s="366"/>
    </row>
    <row r="95" spans="3:84" ht="16.149999999999999" customHeight="1" x14ac:dyDescent="0.35">
      <c r="C95" s="261">
        <v>27.5</v>
      </c>
      <c r="E95" s="448"/>
      <c r="R95" s="444">
        <v>33</v>
      </c>
      <c r="X95" s="445">
        <v>41</v>
      </c>
      <c r="BC95" s="443">
        <v>15</v>
      </c>
      <c r="BG95" s="254"/>
      <c r="BH95" s="254"/>
      <c r="BI95" s="254"/>
      <c r="BJ95" s="254"/>
      <c r="BK95" s="254"/>
      <c r="BL95" s="254"/>
      <c r="CF95" s="366"/>
    </row>
    <row r="96" spans="3:84" ht="16.149999999999999" customHeight="1" x14ac:dyDescent="0.35">
      <c r="C96" s="261">
        <v>27.5</v>
      </c>
      <c r="E96" s="448"/>
      <c r="R96" s="444">
        <v>33</v>
      </c>
      <c r="X96" s="445">
        <v>41</v>
      </c>
      <c r="BC96" s="443">
        <v>15</v>
      </c>
      <c r="BG96" s="254"/>
      <c r="BH96" s="254"/>
      <c r="BI96" s="254"/>
      <c r="BJ96" s="254"/>
      <c r="BK96" s="254"/>
      <c r="BL96" s="254"/>
      <c r="CF96" s="366"/>
    </row>
    <row r="97" spans="3:84" ht="16.149999999999999" customHeight="1" x14ac:dyDescent="0.35">
      <c r="C97" s="261">
        <v>27.5</v>
      </c>
      <c r="E97" s="448"/>
      <c r="R97" s="444">
        <v>33</v>
      </c>
      <c r="X97" s="445">
        <v>41</v>
      </c>
      <c r="BC97" s="443">
        <v>15</v>
      </c>
      <c r="BG97" s="254"/>
      <c r="BH97" s="254"/>
      <c r="BI97" s="254"/>
      <c r="BJ97" s="254"/>
      <c r="BK97" s="254"/>
      <c r="BL97" s="254"/>
      <c r="CF97" s="366"/>
    </row>
    <row r="98" spans="3:84" ht="16.149999999999999" customHeight="1" x14ac:dyDescent="0.35">
      <c r="C98" s="261">
        <v>27.5</v>
      </c>
      <c r="E98" s="448"/>
      <c r="R98" s="444">
        <v>33</v>
      </c>
      <c r="X98" s="445">
        <v>41</v>
      </c>
      <c r="BC98" s="443">
        <v>15</v>
      </c>
      <c r="BG98" s="254"/>
      <c r="BH98" s="254"/>
      <c r="BI98" s="254"/>
      <c r="BJ98" s="254"/>
      <c r="BK98" s="254"/>
      <c r="BL98" s="254"/>
      <c r="CF98" s="366"/>
    </row>
    <row r="99" spans="3:84" ht="16.149999999999999" customHeight="1" x14ac:dyDescent="0.35">
      <c r="C99" s="261">
        <v>27.5</v>
      </c>
      <c r="E99" s="448"/>
      <c r="R99" s="444">
        <v>33</v>
      </c>
      <c r="X99" s="445">
        <v>41</v>
      </c>
      <c r="BC99" s="443">
        <v>15</v>
      </c>
      <c r="BG99" s="254"/>
      <c r="BH99" s="254"/>
      <c r="BI99" s="254"/>
      <c r="BJ99" s="254"/>
      <c r="BK99" s="254"/>
      <c r="BL99" s="254"/>
      <c r="CF99" s="366"/>
    </row>
    <row r="100" spans="3:84" ht="16.149999999999999" customHeight="1" x14ac:dyDescent="0.35">
      <c r="C100" s="261">
        <v>27.5</v>
      </c>
      <c r="E100" s="448"/>
      <c r="R100" s="444">
        <v>33</v>
      </c>
      <c r="X100" s="445">
        <v>41</v>
      </c>
      <c r="BC100" s="443">
        <v>15</v>
      </c>
      <c r="BG100" s="254"/>
      <c r="BH100" s="254"/>
      <c r="BI100" s="254"/>
      <c r="BJ100" s="254"/>
      <c r="BK100" s="254"/>
      <c r="BL100" s="254"/>
      <c r="CF100" s="366"/>
    </row>
    <row r="101" spans="3:84" ht="16.149999999999999" customHeight="1" x14ac:dyDescent="0.35">
      <c r="C101" s="261">
        <v>27.5</v>
      </c>
      <c r="E101" s="448"/>
      <c r="R101" s="444">
        <v>33</v>
      </c>
      <c r="X101" s="445">
        <v>41</v>
      </c>
      <c r="BC101" s="443">
        <v>15</v>
      </c>
      <c r="BG101" s="254"/>
      <c r="BH101" s="254"/>
      <c r="BI101" s="254"/>
      <c r="BJ101" s="254"/>
      <c r="BK101" s="254"/>
      <c r="BL101" s="254"/>
      <c r="CF101" s="366"/>
    </row>
    <row r="102" spans="3:84" ht="16.149999999999999" customHeight="1" x14ac:dyDescent="0.35">
      <c r="E102" s="448"/>
      <c r="R102" s="444">
        <v>33</v>
      </c>
      <c r="X102" s="445">
        <v>41</v>
      </c>
      <c r="BC102" s="443">
        <v>15</v>
      </c>
      <c r="BG102" s="254"/>
      <c r="BH102" s="254"/>
      <c r="BI102" s="254"/>
      <c r="BJ102" s="254"/>
      <c r="BK102" s="254"/>
      <c r="BL102" s="254"/>
      <c r="CF102" s="366"/>
    </row>
    <row r="103" spans="3:84" ht="16.149999999999999" customHeight="1" x14ac:dyDescent="0.35">
      <c r="E103" s="448"/>
      <c r="R103" s="444">
        <v>33</v>
      </c>
      <c r="X103" s="445">
        <v>41</v>
      </c>
      <c r="BC103" s="443">
        <v>15</v>
      </c>
      <c r="BG103" s="254"/>
      <c r="BH103" s="254"/>
      <c r="BI103" s="254"/>
      <c r="BJ103" s="254"/>
      <c r="BK103" s="254"/>
      <c r="BL103" s="254"/>
      <c r="CF103" s="366"/>
    </row>
    <row r="104" spans="3:84" ht="16.149999999999999" customHeight="1" x14ac:dyDescent="0.35">
      <c r="E104" s="448"/>
      <c r="R104" s="444">
        <v>33</v>
      </c>
      <c r="X104" s="445">
        <v>41</v>
      </c>
      <c r="BC104" s="443">
        <v>15</v>
      </c>
      <c r="BG104" s="254"/>
      <c r="BH104" s="254"/>
      <c r="BI104" s="254"/>
      <c r="BJ104" s="254"/>
      <c r="BK104" s="254"/>
      <c r="BL104" s="254"/>
      <c r="CF104" s="366"/>
    </row>
    <row r="105" spans="3:84" ht="16.149999999999999" customHeight="1" x14ac:dyDescent="0.35">
      <c r="E105" s="448"/>
      <c r="R105" s="444">
        <v>33</v>
      </c>
      <c r="X105" s="445">
        <v>41</v>
      </c>
      <c r="BC105" s="443">
        <v>15</v>
      </c>
      <c r="BG105" s="254"/>
      <c r="BH105" s="254"/>
      <c r="BI105" s="254"/>
      <c r="BJ105" s="254"/>
      <c r="BK105" s="254"/>
      <c r="BL105" s="254"/>
      <c r="CF105" s="366"/>
    </row>
    <row r="106" spans="3:84" ht="16.149999999999999" customHeight="1" x14ac:dyDescent="0.35">
      <c r="E106" s="448"/>
      <c r="R106" s="444">
        <v>34</v>
      </c>
      <c r="X106" s="445">
        <v>41</v>
      </c>
      <c r="BC106" s="443">
        <v>15</v>
      </c>
      <c r="BG106" s="254"/>
      <c r="BH106" s="254"/>
      <c r="BI106" s="254"/>
      <c r="BJ106" s="254"/>
      <c r="BK106" s="254"/>
      <c r="BL106" s="254"/>
      <c r="CF106" s="366"/>
    </row>
    <row r="107" spans="3:84" ht="16.149999999999999" customHeight="1" x14ac:dyDescent="0.35">
      <c r="E107" s="448"/>
      <c r="R107" s="444">
        <v>34</v>
      </c>
      <c r="X107" s="445">
        <v>41</v>
      </c>
      <c r="BC107" s="443">
        <v>15</v>
      </c>
      <c r="BG107" s="254"/>
      <c r="BH107" s="254"/>
      <c r="BI107" s="254"/>
      <c r="BJ107" s="254"/>
      <c r="BK107" s="254"/>
      <c r="BL107" s="254"/>
      <c r="CF107" s="366"/>
    </row>
    <row r="108" spans="3:84" ht="16.149999999999999" customHeight="1" x14ac:dyDescent="0.35">
      <c r="E108" s="448"/>
      <c r="R108" s="444">
        <v>34</v>
      </c>
      <c r="X108" s="445">
        <v>41</v>
      </c>
      <c r="BC108" s="443">
        <v>16</v>
      </c>
      <c r="BG108" s="254"/>
      <c r="BH108" s="254"/>
      <c r="BI108" s="254"/>
      <c r="BJ108" s="254"/>
      <c r="BK108" s="254"/>
      <c r="BL108" s="254"/>
      <c r="CF108" s="366"/>
    </row>
    <row r="109" spans="3:84" ht="16.149999999999999" customHeight="1" x14ac:dyDescent="0.35">
      <c r="E109" s="448"/>
      <c r="R109" s="444">
        <v>34</v>
      </c>
      <c r="X109" s="445">
        <v>42</v>
      </c>
      <c r="BC109" s="443">
        <v>16</v>
      </c>
      <c r="BG109" s="254"/>
      <c r="BH109" s="254"/>
      <c r="BI109" s="254"/>
      <c r="BJ109" s="254"/>
      <c r="BK109" s="254"/>
      <c r="BL109" s="254"/>
      <c r="CF109" s="366"/>
    </row>
    <row r="110" spans="3:84" ht="16.149999999999999" customHeight="1" x14ac:dyDescent="0.35">
      <c r="E110" s="448"/>
      <c r="R110" s="444">
        <v>34</v>
      </c>
      <c r="X110" s="445">
        <v>42</v>
      </c>
      <c r="BC110" s="443">
        <v>16</v>
      </c>
      <c r="BG110" s="254"/>
      <c r="BH110" s="254"/>
      <c r="BI110" s="254"/>
      <c r="BJ110" s="254"/>
      <c r="BK110" s="254"/>
      <c r="BL110" s="254"/>
      <c r="CF110" s="366"/>
    </row>
    <row r="111" spans="3:84" ht="16.149999999999999" customHeight="1" x14ac:dyDescent="0.35">
      <c r="E111" s="448"/>
      <c r="R111" s="444">
        <v>34</v>
      </c>
      <c r="X111" s="445">
        <v>42</v>
      </c>
      <c r="BC111" s="443">
        <v>16</v>
      </c>
      <c r="BG111" s="254"/>
      <c r="BH111" s="254"/>
      <c r="BI111" s="254"/>
      <c r="BJ111" s="254"/>
      <c r="BK111" s="254"/>
      <c r="BL111" s="254"/>
      <c r="CF111" s="366"/>
    </row>
    <row r="112" spans="3:84" ht="16.149999999999999" customHeight="1" x14ac:dyDescent="0.35">
      <c r="E112" s="448"/>
      <c r="R112" s="444">
        <v>34</v>
      </c>
      <c r="X112" s="445">
        <v>42</v>
      </c>
      <c r="BC112" s="443">
        <v>18</v>
      </c>
      <c r="BG112" s="254"/>
      <c r="BH112" s="254"/>
      <c r="BI112" s="254"/>
      <c r="BJ112" s="254"/>
      <c r="BK112" s="254"/>
      <c r="BL112" s="254"/>
      <c r="CF112" s="366"/>
    </row>
    <row r="113" spans="5:84" ht="16.149999999999999" customHeight="1" x14ac:dyDescent="0.35">
      <c r="E113" s="448"/>
      <c r="R113" s="444">
        <v>34</v>
      </c>
      <c r="X113" s="445">
        <v>42</v>
      </c>
      <c r="BC113" s="443">
        <v>20</v>
      </c>
      <c r="BG113" s="254"/>
      <c r="BH113" s="254"/>
      <c r="BI113" s="254"/>
      <c r="BJ113" s="254"/>
      <c r="BK113" s="254"/>
      <c r="BL113" s="254"/>
      <c r="CF113" s="366"/>
    </row>
    <row r="114" spans="5:84" ht="16.149999999999999" customHeight="1" x14ac:dyDescent="0.35">
      <c r="E114" s="448"/>
      <c r="R114" s="444">
        <v>34</v>
      </c>
      <c r="X114" s="445">
        <v>42</v>
      </c>
      <c r="BG114" s="254"/>
      <c r="BH114" s="254"/>
      <c r="BI114" s="254"/>
      <c r="BJ114" s="254"/>
      <c r="BK114" s="254"/>
      <c r="BL114" s="254"/>
      <c r="CF114" s="366"/>
    </row>
    <row r="115" spans="5:84" ht="16.149999999999999" customHeight="1" x14ac:dyDescent="0.35">
      <c r="E115" s="448"/>
      <c r="R115" s="444">
        <v>34</v>
      </c>
      <c r="X115" s="445">
        <v>42</v>
      </c>
      <c r="BG115" s="254"/>
      <c r="BH115" s="254"/>
      <c r="BI115" s="254"/>
      <c r="BJ115" s="254"/>
      <c r="BK115" s="254"/>
      <c r="BL115" s="254"/>
      <c r="CF115" s="366"/>
    </row>
    <row r="116" spans="5:84" ht="16.149999999999999" customHeight="1" x14ac:dyDescent="0.35">
      <c r="E116" s="448"/>
      <c r="R116" s="444">
        <v>34</v>
      </c>
      <c r="X116" s="445">
        <v>42</v>
      </c>
      <c r="BG116" s="254"/>
      <c r="BH116" s="254"/>
      <c r="BI116" s="254"/>
      <c r="BJ116" s="254"/>
      <c r="BK116" s="254"/>
      <c r="BL116" s="254"/>
      <c r="CF116" s="366"/>
    </row>
    <row r="117" spans="5:84" ht="16.149999999999999" customHeight="1" x14ac:dyDescent="0.35">
      <c r="E117" s="448"/>
      <c r="R117" s="444">
        <v>34</v>
      </c>
      <c r="X117" s="445">
        <v>42</v>
      </c>
      <c r="BG117" s="254"/>
      <c r="BH117" s="254"/>
      <c r="BI117" s="254"/>
      <c r="BJ117" s="254"/>
      <c r="BK117" s="254"/>
      <c r="BL117" s="254"/>
      <c r="CF117" s="366"/>
    </row>
    <row r="118" spans="5:84" ht="16.149999999999999" customHeight="1" x14ac:dyDescent="0.35">
      <c r="E118" s="448"/>
      <c r="R118" s="444">
        <v>34</v>
      </c>
      <c r="X118" s="445">
        <v>42</v>
      </c>
      <c r="BG118" s="254"/>
      <c r="BH118" s="254"/>
      <c r="BI118" s="254"/>
      <c r="BJ118" s="254"/>
      <c r="BK118" s="254"/>
      <c r="BL118" s="254"/>
      <c r="CF118" s="366"/>
    </row>
    <row r="119" spans="5:84" ht="16.149999999999999" customHeight="1" x14ac:dyDescent="0.35">
      <c r="E119" s="448"/>
      <c r="R119" s="444">
        <v>34</v>
      </c>
      <c r="X119" s="445">
        <v>42</v>
      </c>
      <c r="BG119" s="254"/>
      <c r="BH119" s="254"/>
      <c r="BI119" s="254"/>
      <c r="BJ119" s="254"/>
      <c r="BK119" s="254"/>
      <c r="BL119" s="254"/>
      <c r="CF119" s="366"/>
    </row>
    <row r="120" spans="5:84" ht="16.149999999999999" customHeight="1" x14ac:dyDescent="0.35">
      <c r="E120" s="448"/>
      <c r="R120" s="444">
        <v>34</v>
      </c>
      <c r="X120" s="445">
        <v>42</v>
      </c>
      <c r="BG120" s="254"/>
      <c r="BH120" s="254"/>
      <c r="BI120" s="254"/>
      <c r="BJ120" s="254"/>
      <c r="BK120" s="254"/>
      <c r="BL120" s="254"/>
      <c r="CF120" s="366"/>
    </row>
    <row r="121" spans="5:84" ht="16.149999999999999" customHeight="1" x14ac:dyDescent="0.35">
      <c r="E121" s="448"/>
      <c r="R121" s="444">
        <v>34</v>
      </c>
      <c r="X121" s="445">
        <v>42</v>
      </c>
      <c r="BG121" s="254"/>
      <c r="BH121" s="254"/>
      <c r="BI121" s="254"/>
      <c r="BJ121" s="254"/>
      <c r="BK121" s="254"/>
      <c r="BL121" s="254"/>
      <c r="CF121" s="366"/>
    </row>
    <row r="122" spans="5:84" ht="16.149999999999999" customHeight="1" x14ac:dyDescent="0.35">
      <c r="E122" s="448"/>
      <c r="R122" s="444">
        <v>34</v>
      </c>
      <c r="X122" s="445">
        <v>42</v>
      </c>
      <c r="BG122" s="254"/>
      <c r="BH122" s="254"/>
      <c r="BI122" s="254"/>
      <c r="BJ122" s="254"/>
      <c r="BK122" s="254"/>
      <c r="BL122" s="254"/>
      <c r="CF122" s="366"/>
    </row>
    <row r="123" spans="5:84" ht="16.149999999999999" customHeight="1" x14ac:dyDescent="0.35">
      <c r="E123" s="448"/>
      <c r="R123" s="444">
        <v>34</v>
      </c>
      <c r="X123" s="445">
        <v>42</v>
      </c>
      <c r="BG123" s="254"/>
      <c r="BH123" s="254"/>
      <c r="BI123" s="254"/>
      <c r="BJ123" s="254"/>
      <c r="BK123" s="254"/>
      <c r="BL123" s="254"/>
      <c r="CF123" s="366"/>
    </row>
    <row r="124" spans="5:84" ht="16.149999999999999" customHeight="1" x14ac:dyDescent="0.35">
      <c r="E124" s="448"/>
      <c r="R124" s="444">
        <v>34</v>
      </c>
      <c r="X124" s="445">
        <v>42</v>
      </c>
      <c r="BG124" s="254"/>
      <c r="BH124" s="254"/>
      <c r="BI124" s="254"/>
      <c r="BJ124" s="254"/>
      <c r="BK124" s="254"/>
      <c r="BL124" s="254"/>
      <c r="CF124" s="366"/>
    </row>
    <row r="125" spans="5:84" ht="16.149999999999999" customHeight="1" x14ac:dyDescent="0.35">
      <c r="E125" s="448"/>
      <c r="R125" s="444">
        <v>34</v>
      </c>
      <c r="X125" s="445">
        <v>42</v>
      </c>
      <c r="BG125" s="254"/>
      <c r="BH125" s="254"/>
      <c r="BI125" s="254"/>
      <c r="BJ125" s="254"/>
      <c r="BK125" s="254"/>
      <c r="BL125" s="254"/>
      <c r="CF125" s="366"/>
    </row>
    <row r="126" spans="5:84" ht="16.149999999999999" customHeight="1" x14ac:dyDescent="0.35">
      <c r="E126" s="448"/>
      <c r="R126" s="444">
        <v>34</v>
      </c>
      <c r="X126" s="445">
        <v>42</v>
      </c>
      <c r="BG126" s="254"/>
      <c r="BH126" s="254"/>
      <c r="BI126" s="254"/>
      <c r="BJ126" s="254"/>
      <c r="BK126" s="254"/>
      <c r="BL126" s="254"/>
      <c r="CF126" s="366"/>
    </row>
    <row r="127" spans="5:84" ht="16.149999999999999" customHeight="1" x14ac:dyDescent="0.35">
      <c r="E127" s="448"/>
      <c r="R127" s="444">
        <v>34</v>
      </c>
      <c r="X127" s="445">
        <v>43</v>
      </c>
      <c r="BG127" s="254"/>
      <c r="BH127" s="254"/>
      <c r="BI127" s="254"/>
      <c r="BJ127" s="254"/>
      <c r="BK127" s="254"/>
      <c r="BL127" s="254"/>
      <c r="CF127" s="366"/>
    </row>
    <row r="128" spans="5:84" ht="16.149999999999999" customHeight="1" x14ac:dyDescent="0.35">
      <c r="E128" s="448"/>
      <c r="R128" s="444">
        <v>34</v>
      </c>
      <c r="X128" s="445">
        <v>43</v>
      </c>
      <c r="BG128" s="254"/>
      <c r="BH128" s="254"/>
      <c r="BI128" s="254"/>
      <c r="BJ128" s="254"/>
      <c r="BK128" s="254"/>
      <c r="BL128" s="254"/>
      <c r="CF128" s="366"/>
    </row>
    <row r="129" spans="5:84" ht="16.149999999999999" customHeight="1" x14ac:dyDescent="0.35">
      <c r="E129" s="448"/>
      <c r="R129" s="444">
        <v>34</v>
      </c>
      <c r="X129" s="445">
        <v>43</v>
      </c>
      <c r="BG129" s="254"/>
      <c r="BH129" s="254"/>
      <c r="BI129" s="254"/>
      <c r="BJ129" s="254"/>
      <c r="BK129" s="254"/>
      <c r="BL129" s="254"/>
      <c r="CF129" s="366"/>
    </row>
    <row r="130" spans="5:84" ht="16.149999999999999" customHeight="1" x14ac:dyDescent="0.35">
      <c r="E130" s="448"/>
      <c r="R130" s="444">
        <v>34</v>
      </c>
      <c r="X130" s="445">
        <v>43</v>
      </c>
      <c r="BG130" s="254"/>
      <c r="BH130" s="254"/>
      <c r="BI130" s="254"/>
      <c r="BJ130" s="254"/>
      <c r="BK130" s="254"/>
      <c r="BL130" s="254"/>
      <c r="CF130" s="366"/>
    </row>
    <row r="131" spans="5:84" ht="16.149999999999999" customHeight="1" x14ac:dyDescent="0.35">
      <c r="E131" s="448"/>
      <c r="R131" s="444">
        <v>34</v>
      </c>
      <c r="X131" s="445">
        <v>43</v>
      </c>
      <c r="BG131" s="254"/>
      <c r="BH131" s="254"/>
      <c r="BI131" s="254"/>
      <c r="BJ131" s="254"/>
      <c r="BK131" s="254"/>
      <c r="BL131" s="254"/>
      <c r="CF131" s="366"/>
    </row>
    <row r="132" spans="5:84" ht="16.149999999999999" customHeight="1" x14ac:dyDescent="0.35">
      <c r="E132" s="448"/>
      <c r="R132" s="444">
        <v>34</v>
      </c>
      <c r="X132" s="445">
        <v>43</v>
      </c>
      <c r="BG132" s="254"/>
      <c r="BH132" s="254"/>
      <c r="BI132" s="254"/>
      <c r="BJ132" s="254"/>
      <c r="BK132" s="254"/>
      <c r="BL132" s="254"/>
      <c r="CF132" s="366"/>
    </row>
    <row r="133" spans="5:84" ht="16.149999999999999" customHeight="1" x14ac:dyDescent="0.35">
      <c r="E133" s="448"/>
      <c r="R133" s="444">
        <v>34</v>
      </c>
      <c r="X133" s="445">
        <v>43</v>
      </c>
      <c r="BG133" s="254"/>
      <c r="BH133" s="254"/>
      <c r="BI133" s="254"/>
      <c r="BJ133" s="254"/>
      <c r="BK133" s="254"/>
      <c r="BL133" s="254"/>
      <c r="CF133" s="366"/>
    </row>
    <row r="134" spans="5:84" ht="16.149999999999999" customHeight="1" x14ac:dyDescent="0.35">
      <c r="E134" s="448"/>
      <c r="R134" s="444">
        <v>34</v>
      </c>
      <c r="X134" s="445">
        <v>43</v>
      </c>
      <c r="BG134" s="254"/>
      <c r="BH134" s="254"/>
      <c r="BI134" s="254"/>
      <c r="BJ134" s="254"/>
      <c r="BK134" s="254"/>
      <c r="BL134" s="254"/>
      <c r="CF134" s="366"/>
    </row>
    <row r="135" spans="5:84" ht="16.149999999999999" customHeight="1" x14ac:dyDescent="0.35">
      <c r="E135" s="448"/>
      <c r="R135" s="444">
        <v>34</v>
      </c>
      <c r="X135" s="445">
        <v>43</v>
      </c>
      <c r="BG135" s="254"/>
      <c r="BH135" s="254"/>
      <c r="BI135" s="254"/>
      <c r="BJ135" s="254"/>
      <c r="BK135" s="254"/>
      <c r="BL135" s="254"/>
      <c r="CF135" s="366"/>
    </row>
    <row r="136" spans="5:84" ht="16.149999999999999" customHeight="1" x14ac:dyDescent="0.35">
      <c r="E136" s="448"/>
      <c r="R136" s="444">
        <v>34</v>
      </c>
      <c r="X136" s="445">
        <v>43</v>
      </c>
      <c r="BG136" s="254"/>
      <c r="BH136" s="254"/>
      <c r="BI136" s="254"/>
      <c r="BJ136" s="254"/>
      <c r="BK136" s="254"/>
      <c r="BL136" s="254"/>
      <c r="CF136" s="366"/>
    </row>
    <row r="137" spans="5:84" ht="16.149999999999999" customHeight="1" x14ac:dyDescent="0.35">
      <c r="E137" s="448"/>
      <c r="R137" s="444">
        <v>34</v>
      </c>
      <c r="X137" s="445">
        <v>43</v>
      </c>
      <c r="BG137" s="254"/>
      <c r="BH137" s="254"/>
      <c r="BI137" s="254"/>
      <c r="BJ137" s="254"/>
      <c r="BK137" s="254"/>
      <c r="BL137" s="254"/>
      <c r="CF137" s="366"/>
    </row>
    <row r="138" spans="5:84" ht="16.149999999999999" customHeight="1" x14ac:dyDescent="0.35">
      <c r="E138" s="448"/>
      <c r="R138" s="444">
        <v>34</v>
      </c>
      <c r="X138" s="445">
        <v>44</v>
      </c>
      <c r="BG138" s="254"/>
      <c r="BH138" s="254"/>
      <c r="BI138" s="254"/>
      <c r="BJ138" s="254"/>
      <c r="BK138" s="254"/>
      <c r="BL138" s="254"/>
      <c r="CF138" s="366"/>
    </row>
    <row r="139" spans="5:84" ht="16.149999999999999" customHeight="1" x14ac:dyDescent="0.35">
      <c r="E139" s="448"/>
      <c r="R139" s="444">
        <v>34</v>
      </c>
      <c r="X139" s="445">
        <v>44</v>
      </c>
      <c r="BG139" s="254"/>
      <c r="BH139" s="254"/>
      <c r="BI139" s="254"/>
      <c r="BJ139" s="254"/>
      <c r="BK139" s="254"/>
      <c r="BL139" s="254"/>
      <c r="CF139" s="366"/>
    </row>
    <row r="140" spans="5:84" ht="16.149999999999999" customHeight="1" x14ac:dyDescent="0.35">
      <c r="E140" s="448"/>
      <c r="R140" s="444">
        <v>34</v>
      </c>
      <c r="X140" s="445">
        <v>44</v>
      </c>
      <c r="BG140" s="254"/>
      <c r="BH140" s="254"/>
      <c r="BI140" s="254"/>
      <c r="BJ140" s="254"/>
      <c r="BK140" s="254"/>
      <c r="BL140" s="254"/>
      <c r="CF140" s="366"/>
    </row>
    <row r="141" spans="5:84" ht="16.149999999999999" customHeight="1" x14ac:dyDescent="0.35">
      <c r="E141" s="448"/>
      <c r="R141" s="444">
        <v>34</v>
      </c>
      <c r="X141" s="445">
        <v>44</v>
      </c>
      <c r="BG141" s="254"/>
      <c r="BH141" s="254"/>
      <c r="BI141" s="254"/>
      <c r="BJ141" s="254"/>
      <c r="BK141" s="254"/>
      <c r="BL141" s="254"/>
      <c r="CF141" s="366"/>
    </row>
    <row r="142" spans="5:84" ht="16.149999999999999" customHeight="1" x14ac:dyDescent="0.35">
      <c r="E142" s="448"/>
      <c r="R142" s="444">
        <v>34</v>
      </c>
      <c r="BG142" s="254"/>
      <c r="BH142" s="254"/>
      <c r="BI142" s="254"/>
      <c r="BJ142" s="254"/>
      <c r="BK142" s="254"/>
      <c r="BL142" s="254"/>
      <c r="CF142" s="366"/>
    </row>
    <row r="143" spans="5:84" ht="16.149999999999999" customHeight="1" x14ac:dyDescent="0.35">
      <c r="E143" s="448"/>
      <c r="R143" s="444">
        <v>34</v>
      </c>
      <c r="BG143" s="254"/>
      <c r="BH143" s="254"/>
      <c r="BI143" s="254"/>
      <c r="BJ143" s="254"/>
      <c r="BK143" s="254"/>
      <c r="BL143" s="254"/>
      <c r="CF143" s="366"/>
    </row>
    <row r="144" spans="5:84" ht="16.149999999999999" customHeight="1" x14ac:dyDescent="0.35">
      <c r="E144" s="448"/>
      <c r="R144" s="444">
        <v>35</v>
      </c>
      <c r="CF144" s="366"/>
    </row>
    <row r="145" spans="5:84" ht="16.149999999999999" customHeight="1" x14ac:dyDescent="0.35">
      <c r="E145" s="448"/>
      <c r="R145" s="444">
        <v>35</v>
      </c>
      <c r="CF145" s="366"/>
    </row>
    <row r="146" spans="5:84" ht="16.149999999999999" customHeight="1" x14ac:dyDescent="0.35">
      <c r="E146" s="448"/>
      <c r="R146" s="444">
        <v>35</v>
      </c>
      <c r="CF146" s="366"/>
    </row>
    <row r="147" spans="5:84" ht="16.149999999999999" customHeight="1" x14ac:dyDescent="0.35">
      <c r="E147" s="448"/>
      <c r="R147" s="444">
        <v>35</v>
      </c>
      <c r="CF147" s="366"/>
    </row>
    <row r="148" spans="5:84" ht="16.149999999999999" customHeight="1" x14ac:dyDescent="0.35">
      <c r="E148" s="448"/>
      <c r="R148" s="444">
        <v>35</v>
      </c>
      <c r="CF148" s="366"/>
    </row>
    <row r="149" spans="5:84" ht="16.149999999999999" customHeight="1" x14ac:dyDescent="0.35">
      <c r="E149" s="448"/>
      <c r="R149" s="444">
        <v>36</v>
      </c>
      <c r="CF149" s="366"/>
    </row>
    <row r="150" spans="5:84" ht="16.149999999999999" customHeight="1" x14ac:dyDescent="0.35">
      <c r="E150" s="448"/>
      <c r="R150" s="445">
        <v>37</v>
      </c>
      <c r="CF150" s="366"/>
    </row>
    <row r="151" spans="5:84" ht="16.149999999999999" customHeight="1" x14ac:dyDescent="0.35">
      <c r="E151" s="448"/>
      <c r="R151" s="445">
        <v>37</v>
      </c>
      <c r="CF151" s="366"/>
    </row>
    <row r="152" spans="5:84" ht="16.149999999999999" customHeight="1" x14ac:dyDescent="0.35">
      <c r="E152" s="448"/>
      <c r="CF152" s="366"/>
    </row>
    <row r="153" spans="5:84" ht="16.149999999999999" customHeight="1" x14ac:dyDescent="0.35">
      <c r="E153" s="448"/>
      <c r="CF153" s="366"/>
    </row>
    <row r="154" spans="5:84" ht="16.149999999999999" customHeight="1" x14ac:dyDescent="0.35">
      <c r="E154" s="448"/>
      <c r="CF154" s="366"/>
    </row>
    <row r="155" spans="5:84" ht="16.149999999999999" customHeight="1" x14ac:dyDescent="0.35">
      <c r="E155" s="448"/>
      <c r="CF155" s="366"/>
    </row>
    <row r="156" spans="5:84" ht="16.149999999999999" customHeight="1" x14ac:dyDescent="0.35">
      <c r="E156" s="448"/>
      <c r="CF156" s="366"/>
    </row>
    <row r="157" spans="5:84" ht="16.149999999999999" customHeight="1" x14ac:dyDescent="0.35">
      <c r="E157" s="448"/>
      <c r="CF157" s="366"/>
    </row>
    <row r="158" spans="5:84" ht="16.149999999999999" customHeight="1" x14ac:dyDescent="0.35">
      <c r="E158" s="448"/>
      <c r="CF158" s="366"/>
    </row>
    <row r="159" spans="5:84" ht="16.149999999999999" customHeight="1" x14ac:dyDescent="0.35">
      <c r="E159" s="448"/>
      <c r="CF159" s="366"/>
    </row>
    <row r="160" spans="5:84" ht="16.149999999999999" customHeight="1" x14ac:dyDescent="0.35">
      <c r="E160" s="448"/>
      <c r="CF160" s="366"/>
    </row>
    <row r="161" spans="5:84" ht="16.149999999999999" customHeight="1" x14ac:dyDescent="0.35">
      <c r="E161" s="448"/>
      <c r="CF161" s="366"/>
    </row>
    <row r="162" spans="5:84" ht="16.149999999999999" customHeight="1" x14ac:dyDescent="0.35">
      <c r="E162" s="448"/>
      <c r="CF162" s="366"/>
    </row>
    <row r="163" spans="5:84" ht="16.149999999999999" customHeight="1" x14ac:dyDescent="0.35">
      <c r="E163" s="448"/>
      <c r="CF163" s="366"/>
    </row>
    <row r="164" spans="5:84" ht="16.149999999999999" customHeight="1" x14ac:dyDescent="0.35">
      <c r="E164" s="448"/>
      <c r="CF164" s="366"/>
    </row>
    <row r="165" spans="5:84" ht="16.149999999999999" customHeight="1" x14ac:dyDescent="0.35">
      <c r="E165" s="448"/>
      <c r="CF165" s="366"/>
    </row>
    <row r="166" spans="5:84" ht="16.149999999999999" customHeight="1" x14ac:dyDescent="0.35">
      <c r="E166" s="448"/>
      <c r="CF166" s="366"/>
    </row>
    <row r="167" spans="5:84" ht="16.149999999999999" customHeight="1" x14ac:dyDescent="0.35">
      <c r="E167" s="448"/>
      <c r="CF167" s="366"/>
    </row>
    <row r="168" spans="5:84" ht="16.149999999999999" customHeight="1" x14ac:dyDescent="0.35">
      <c r="E168" s="448"/>
      <c r="CF168" s="366"/>
    </row>
    <row r="169" spans="5:84" ht="16.149999999999999" customHeight="1" x14ac:dyDescent="0.35">
      <c r="E169" s="448"/>
      <c r="CF169" s="366"/>
    </row>
    <row r="170" spans="5:84" ht="16.149999999999999" customHeight="1" x14ac:dyDescent="0.35">
      <c r="E170" s="448"/>
      <c r="CF170" s="366"/>
    </row>
    <row r="171" spans="5:84" ht="16.149999999999999" customHeight="1" x14ac:dyDescent="0.35">
      <c r="E171" s="448"/>
      <c r="CF171" s="366"/>
    </row>
    <row r="172" spans="5:84" ht="16.149999999999999" customHeight="1" x14ac:dyDescent="0.35">
      <c r="E172" s="448"/>
      <c r="CF172" s="366"/>
    </row>
    <row r="173" spans="5:84" ht="16.149999999999999" customHeight="1" x14ac:dyDescent="0.35">
      <c r="E173" s="448"/>
      <c r="CF173" s="366"/>
    </row>
    <row r="174" spans="5:84" ht="16.149999999999999" customHeight="1" x14ac:dyDescent="0.35">
      <c r="E174" s="448"/>
      <c r="CF174" s="366"/>
    </row>
    <row r="175" spans="5:84" ht="16.149999999999999" customHeight="1" x14ac:dyDescent="0.35">
      <c r="E175" s="448"/>
      <c r="CF175" s="366"/>
    </row>
    <row r="176" spans="5:84" ht="16.149999999999999" customHeight="1" x14ac:dyDescent="0.35">
      <c r="E176" s="448"/>
      <c r="CF176" s="366"/>
    </row>
    <row r="177" spans="5:84" ht="16.149999999999999" customHeight="1" x14ac:dyDescent="0.35">
      <c r="E177" s="448"/>
      <c r="CF177" s="366"/>
    </row>
    <row r="178" spans="5:84" ht="16.149999999999999" customHeight="1" x14ac:dyDescent="0.35">
      <c r="E178" s="448"/>
      <c r="CF178" s="366"/>
    </row>
    <row r="179" spans="5:84" ht="16.149999999999999" customHeight="1" x14ac:dyDescent="0.35">
      <c r="E179" s="448"/>
      <c r="CF179" s="366"/>
    </row>
    <row r="180" spans="5:84" ht="16.149999999999999" customHeight="1" x14ac:dyDescent="0.35">
      <c r="E180" s="448"/>
      <c r="CF180" s="366"/>
    </row>
    <row r="181" spans="5:84" ht="16.149999999999999" customHeight="1" x14ac:dyDescent="0.35">
      <c r="E181" s="448"/>
      <c r="CF181" s="366"/>
    </row>
    <row r="182" spans="5:84" ht="16.149999999999999" customHeight="1" x14ac:dyDescent="0.35">
      <c r="E182" s="448"/>
      <c r="CF182" s="366"/>
    </row>
    <row r="183" spans="5:84" ht="16.149999999999999" customHeight="1" x14ac:dyDescent="0.35">
      <c r="E183" s="448"/>
      <c r="CF183" s="366"/>
    </row>
    <row r="184" spans="5:84" ht="16.149999999999999" customHeight="1" x14ac:dyDescent="0.35">
      <c r="E184" s="448"/>
      <c r="CF184" s="366"/>
    </row>
    <row r="185" spans="5:84" ht="16.149999999999999" customHeight="1" x14ac:dyDescent="0.35">
      <c r="E185" s="448"/>
      <c r="CF185" s="366"/>
    </row>
    <row r="186" spans="5:84" ht="16.149999999999999" customHeight="1" x14ac:dyDescent="0.35">
      <c r="E186" s="448"/>
      <c r="CF186" s="366"/>
    </row>
    <row r="187" spans="5:84" ht="16.149999999999999" customHeight="1" x14ac:dyDescent="0.35">
      <c r="E187" s="448"/>
      <c r="CF187" s="366"/>
    </row>
    <row r="188" spans="5:84" ht="16.149999999999999" customHeight="1" x14ac:dyDescent="0.35">
      <c r="E188" s="448"/>
      <c r="CF188" s="366"/>
    </row>
    <row r="189" spans="5:84" ht="16.149999999999999" customHeight="1" x14ac:dyDescent="0.35">
      <c r="E189" s="448"/>
      <c r="CF189" s="366"/>
    </row>
    <row r="190" spans="5:84" ht="16.149999999999999" customHeight="1" x14ac:dyDescent="0.35">
      <c r="E190" s="448"/>
      <c r="CF190" s="366"/>
    </row>
    <row r="191" spans="5:84" ht="16.149999999999999" customHeight="1" x14ac:dyDescent="0.35">
      <c r="E191" s="448"/>
      <c r="CF191" s="366"/>
    </row>
    <row r="192" spans="5:84" ht="16.149999999999999" customHeight="1" x14ac:dyDescent="0.35">
      <c r="E192" s="448"/>
      <c r="CF192" s="366"/>
    </row>
    <row r="193" spans="5:84" ht="16.149999999999999" customHeight="1" x14ac:dyDescent="0.35">
      <c r="E193" s="448"/>
      <c r="CF193" s="366"/>
    </row>
    <row r="194" spans="5:84" ht="16.149999999999999" customHeight="1" x14ac:dyDescent="0.35">
      <c r="E194" s="448"/>
      <c r="CF194" s="366"/>
    </row>
    <row r="195" spans="5:84" ht="16.149999999999999" customHeight="1" x14ac:dyDescent="0.35">
      <c r="E195" s="448"/>
      <c r="CF195" s="366"/>
    </row>
    <row r="196" spans="5:84" ht="16.149999999999999" customHeight="1" x14ac:dyDescent="0.35">
      <c r="E196" s="448"/>
      <c r="CF196" s="366"/>
    </row>
    <row r="197" spans="5:84" ht="16.149999999999999" customHeight="1" x14ac:dyDescent="0.35">
      <c r="E197" s="448"/>
      <c r="CF197" s="366"/>
    </row>
    <row r="198" spans="5:84" ht="16.149999999999999" customHeight="1" x14ac:dyDescent="0.35">
      <c r="E198" s="448"/>
      <c r="CF198" s="366"/>
    </row>
    <row r="199" spans="5:84" ht="16.149999999999999" customHeight="1" x14ac:dyDescent="0.35">
      <c r="E199" s="448"/>
      <c r="CF199" s="366"/>
    </row>
    <row r="200" spans="5:84" ht="16.149999999999999" customHeight="1" x14ac:dyDescent="0.35">
      <c r="E200" s="448"/>
      <c r="CF200" s="366"/>
    </row>
    <row r="201" spans="5:84" ht="16.149999999999999" customHeight="1" x14ac:dyDescent="0.35">
      <c r="E201" s="448"/>
      <c r="CF201" s="366"/>
    </row>
    <row r="202" spans="5:84" ht="16.149999999999999" customHeight="1" x14ac:dyDescent="0.35">
      <c r="E202" s="448"/>
      <c r="CF202" s="366"/>
    </row>
    <row r="203" spans="5:84" ht="16.149999999999999" customHeight="1" x14ac:dyDescent="0.35">
      <c r="E203" s="448"/>
      <c r="CF203" s="366"/>
    </row>
    <row r="204" spans="5:84" ht="16.149999999999999" customHeight="1" x14ac:dyDescent="0.35">
      <c r="E204" s="448"/>
      <c r="CF204" s="366"/>
    </row>
    <row r="205" spans="5:84" ht="16.149999999999999" customHeight="1" x14ac:dyDescent="0.35">
      <c r="E205" s="448"/>
      <c r="CF205" s="366"/>
    </row>
    <row r="206" spans="5:84" ht="16.149999999999999" customHeight="1" x14ac:dyDescent="0.35">
      <c r="E206" s="448"/>
      <c r="CF206" s="366"/>
    </row>
    <row r="207" spans="5:84" ht="16.149999999999999" customHeight="1" x14ac:dyDescent="0.35">
      <c r="E207" s="448"/>
      <c r="CF207" s="366"/>
    </row>
    <row r="208" spans="5:84" ht="16.149999999999999" customHeight="1" x14ac:dyDescent="0.35">
      <c r="E208" s="448"/>
      <c r="CF208" s="366"/>
    </row>
    <row r="209" spans="5:84" ht="16.149999999999999" customHeight="1" x14ac:dyDescent="0.35">
      <c r="E209" s="448"/>
      <c r="CF209" s="366"/>
    </row>
    <row r="210" spans="5:84" ht="16.149999999999999" customHeight="1" x14ac:dyDescent="0.35">
      <c r="E210" s="448"/>
      <c r="CF210" s="366"/>
    </row>
    <row r="211" spans="5:84" ht="16.149999999999999" customHeight="1" x14ac:dyDescent="0.35">
      <c r="E211" s="448"/>
      <c r="CF211" s="366"/>
    </row>
    <row r="212" spans="5:84" ht="16.149999999999999" customHeight="1" x14ac:dyDescent="0.35">
      <c r="E212" s="448"/>
      <c r="CF212" s="366"/>
    </row>
    <row r="213" spans="5:84" ht="16.149999999999999" customHeight="1" x14ac:dyDescent="0.35">
      <c r="E213" s="448"/>
      <c r="CF213" s="366"/>
    </row>
    <row r="214" spans="5:84" ht="16.149999999999999" customHeight="1" x14ac:dyDescent="0.35">
      <c r="E214" s="448"/>
      <c r="CF214" s="366"/>
    </row>
    <row r="215" spans="5:84" ht="16.149999999999999" customHeight="1" x14ac:dyDescent="0.35">
      <c r="E215" s="448"/>
      <c r="CF215" s="366"/>
    </row>
    <row r="216" spans="5:84" ht="16.149999999999999" customHeight="1" x14ac:dyDescent="0.35">
      <c r="E216" s="448"/>
      <c r="CF216" s="366"/>
    </row>
    <row r="217" spans="5:84" ht="16.149999999999999" customHeight="1" x14ac:dyDescent="0.35">
      <c r="E217" s="448"/>
      <c r="CF217" s="366"/>
    </row>
    <row r="218" spans="5:84" ht="16.149999999999999" customHeight="1" x14ac:dyDescent="0.35">
      <c r="E218" s="448"/>
      <c r="CF218" s="366"/>
    </row>
    <row r="219" spans="5:84" ht="16.149999999999999" customHeight="1" x14ac:dyDescent="0.35">
      <c r="E219" s="448"/>
      <c r="CF219" s="366"/>
    </row>
    <row r="220" spans="5:84" ht="16.149999999999999" customHeight="1" x14ac:dyDescent="0.35">
      <c r="E220" s="448"/>
      <c r="CF220" s="366"/>
    </row>
    <row r="221" spans="5:84" ht="16.149999999999999" customHeight="1" x14ac:dyDescent="0.35">
      <c r="E221" s="448"/>
      <c r="CF221" s="366"/>
    </row>
  </sheetData>
  <sheetProtection algorithmName="SHA-512" hashValue="Vb78D5w/VNa36+eO/vx2mjxfhgazzhZBPMC5hGhjozKq8dH6KAkS2lrZu2PtwZ19nGK5YK+Fv7eje8JSSiplog==" saltValue="JMBLWVPlMA+IKqlOAbu5bw==" spinCount="100000" sheet="1" objects="1" scenarios="1" formatCells="0" insertColumns="0"/>
  <phoneticPr fontId="25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/>
  <dimension ref="A1:W73"/>
  <sheetViews>
    <sheetView showGridLines="0" workbookViewId="0">
      <pane ySplit="2" topLeftCell="A3" activePane="bottomLeft" state="frozen"/>
      <selection activeCell="L15" sqref="L15"/>
      <selection pane="bottomLeft" activeCell="L1" sqref="L1"/>
    </sheetView>
  </sheetViews>
  <sheetFormatPr defaultColWidth="10.7265625" defaultRowHeight="24.4" customHeight="1" x14ac:dyDescent="0.35"/>
  <cols>
    <col min="1" max="16384" width="10.7265625" style="2"/>
  </cols>
  <sheetData>
    <row r="1" spans="1:16" ht="24.4" customHeight="1" x14ac:dyDescent="0.35">
      <c r="A1" s="276" t="s">
        <v>47</v>
      </c>
      <c r="B1" s="276"/>
      <c r="C1" s="276"/>
      <c r="D1" s="1"/>
    </row>
    <row r="2" spans="1:16" ht="24.4" customHeight="1" x14ac:dyDescent="0.35">
      <c r="B2" s="281" t="s">
        <v>79</v>
      </c>
      <c r="C2" s="262"/>
      <c r="D2" s="262"/>
      <c r="E2" s="262"/>
      <c r="F2" s="263"/>
      <c r="G2" s="264"/>
      <c r="H2" s="263"/>
      <c r="I2" s="265"/>
      <c r="J2" s="266"/>
      <c r="K2" s="267"/>
      <c r="L2" s="268"/>
      <c r="M2" s="267"/>
      <c r="N2" s="84"/>
      <c r="O2" s="84"/>
      <c r="P2" s="3"/>
    </row>
    <row r="3" spans="1:16" ht="24.4" customHeight="1" x14ac:dyDescent="0.35">
      <c r="A3" s="275" t="s">
        <v>116</v>
      </c>
      <c r="B3" s="275"/>
      <c r="D3" s="262"/>
      <c r="E3" s="262"/>
      <c r="F3" s="263"/>
      <c r="G3" s="264"/>
      <c r="H3" s="263"/>
      <c r="I3" s="265"/>
      <c r="J3" s="266"/>
      <c r="K3" s="267"/>
      <c r="L3" s="268"/>
      <c r="M3" s="267"/>
      <c r="N3" s="84"/>
      <c r="O3" s="84"/>
      <c r="P3" s="3"/>
    </row>
    <row r="4" spans="1:16" ht="18" customHeight="1" x14ac:dyDescent="0.35">
      <c r="A4" s="18" t="s">
        <v>0</v>
      </c>
      <c r="B4" s="19">
        <f ca="1">COUNT(INDIRECT(pomocny!H6))</f>
        <v>15</v>
      </c>
      <c r="C4" s="18" t="s">
        <v>2</v>
      </c>
      <c r="D4" s="262"/>
      <c r="E4" s="262"/>
      <c r="F4" s="263"/>
      <c r="G4" s="264"/>
      <c r="H4" s="263"/>
      <c r="I4" s="265"/>
      <c r="J4" s="266"/>
      <c r="K4" s="267"/>
      <c r="L4" s="268"/>
      <c r="M4" s="267"/>
      <c r="N4" s="84"/>
      <c r="O4" s="84"/>
      <c r="P4" s="3"/>
    </row>
    <row r="5" spans="1:16" ht="18" customHeight="1" x14ac:dyDescent="0.35">
      <c r="A5" s="18" t="s">
        <v>3</v>
      </c>
      <c r="B5" s="129">
        <f ca="1">MIN(INDIRECT(pomocny!H6))</f>
        <v>14.68</v>
      </c>
      <c r="C5" s="19">
        <f ca="1">B6-B5</f>
        <v>0.8100000000000005</v>
      </c>
      <c r="D5" s="262"/>
      <c r="E5" s="262"/>
      <c r="F5" s="263"/>
      <c r="G5" s="264"/>
      <c r="H5" s="263"/>
      <c r="I5" s="265"/>
      <c r="J5" s="266"/>
      <c r="K5" s="267"/>
      <c r="L5" s="268"/>
      <c r="M5" s="267"/>
      <c r="N5" s="84"/>
      <c r="O5" s="84"/>
      <c r="P5" s="3"/>
    </row>
    <row r="6" spans="1:16" ht="18" customHeight="1" x14ac:dyDescent="0.35">
      <c r="A6" s="18" t="s">
        <v>4</v>
      </c>
      <c r="B6" s="129">
        <f ca="1">MAX(INDIRECT(pomocny!H6))</f>
        <v>15.49</v>
      </c>
      <c r="C6" s="29"/>
      <c r="D6" s="262"/>
      <c r="E6" s="262"/>
      <c r="F6" s="263"/>
      <c r="G6" s="264"/>
      <c r="H6" s="263"/>
      <c r="I6" s="265"/>
      <c r="J6" s="266"/>
      <c r="K6" s="267"/>
      <c r="L6" s="268"/>
      <c r="M6" s="267"/>
      <c r="N6" s="84"/>
      <c r="O6" s="84"/>
      <c r="P6" s="3"/>
    </row>
    <row r="7" spans="1:16" ht="24.4" customHeight="1" thickBot="1" x14ac:dyDescent="0.4">
      <c r="A7" s="10" t="s">
        <v>110</v>
      </c>
      <c r="C7" s="45"/>
      <c r="L7" s="46"/>
      <c r="M7" s="46"/>
    </row>
    <row r="8" spans="1:16" ht="24.4" customHeight="1" x14ac:dyDescent="0.35">
      <c r="A8" s="104" t="s">
        <v>29</v>
      </c>
      <c r="B8" s="105"/>
      <c r="C8" s="106" t="s">
        <v>166</v>
      </c>
      <c r="D8" s="106" t="s">
        <v>72</v>
      </c>
      <c r="E8" s="105"/>
      <c r="F8" s="59" t="s">
        <v>32</v>
      </c>
      <c r="G8" s="59" t="s">
        <v>30</v>
      </c>
      <c r="H8" s="105"/>
      <c r="I8" s="59" t="s">
        <v>31</v>
      </c>
      <c r="J8" s="59" t="s">
        <v>33</v>
      </c>
      <c r="K8" s="59" t="s">
        <v>48</v>
      </c>
      <c r="L8" s="60" t="s">
        <v>34</v>
      </c>
    </row>
    <row r="9" spans="1:16" s="44" customFormat="1" ht="24.4" customHeight="1" x14ac:dyDescent="0.25">
      <c r="A9" s="135">
        <f ca="1">SUM(INDIRECT(pomocny!H6))</f>
        <v>224.7</v>
      </c>
      <c r="B9" s="132">
        <f ca="1">AVERAGE(INDIRECT(pomocny!H6))</f>
        <v>14.979999999999999</v>
      </c>
      <c r="C9" s="132">
        <f ca="1">VAR(INDIRECT(pomocny!H6))</f>
        <v>4.5042857142857211E-2</v>
      </c>
      <c r="D9" s="132">
        <f ca="1">STDEV(INDIRECT(pomocny!H6))</f>
        <v>0.21223302557061474</v>
      </c>
      <c r="E9" s="132">
        <f ca="1">AVEDEV(INDIRECT(pomocny!H6))</f>
        <v>0.16000000000000014</v>
      </c>
      <c r="F9" s="133">
        <f ca="1">PERCENTILE(INDIRECT(pomocny!H6),0.1)</f>
        <v>14.773999999999999</v>
      </c>
      <c r="G9" s="132">
        <f ca="1">PERCENTILE(INDIRECT(pomocny!H6),0.25)</f>
        <v>14.83</v>
      </c>
      <c r="H9" s="132">
        <f ca="1">PERCENTILE(INDIRECT(pomocny!H6),0.5)</f>
        <v>14.95</v>
      </c>
      <c r="I9" s="132">
        <f ca="1">PERCENTILE(INDIRECT(pomocny!H6),0.75)</f>
        <v>15.074999999999999</v>
      </c>
      <c r="J9" s="132">
        <f ca="1">PERCENTILE(INDIRECT(pomocny!H6),0.9)</f>
        <v>15.222</v>
      </c>
      <c r="K9" s="132">
        <f ca="1">SKEW(INDIRECT(pomocny!H6))</f>
        <v>0.95253373181118783</v>
      </c>
      <c r="L9" s="136">
        <f ca="1">(B4-2)/SQRT(B4*(B4-1))*K9</f>
        <v>0.85450393916517164</v>
      </c>
    </row>
    <row r="10" spans="1:16" s="54" customFormat="1" ht="24.4" customHeight="1" x14ac:dyDescent="0.25">
      <c r="A10" s="137" t="s">
        <v>35</v>
      </c>
      <c r="B10" s="134"/>
      <c r="C10" s="131"/>
      <c r="D10" s="298" t="s">
        <v>36</v>
      </c>
      <c r="E10" s="130"/>
      <c r="F10" s="134" t="s">
        <v>11</v>
      </c>
      <c r="G10" s="134" t="s">
        <v>37</v>
      </c>
      <c r="H10" s="134" t="s">
        <v>38</v>
      </c>
      <c r="I10" s="134" t="s">
        <v>39</v>
      </c>
      <c r="J10" s="134" t="s">
        <v>40</v>
      </c>
      <c r="K10" s="131" t="s">
        <v>49</v>
      </c>
      <c r="L10" s="297" t="s">
        <v>41</v>
      </c>
    </row>
    <row r="11" spans="1:16" s="54" customFormat="1" ht="24.4" customHeight="1" thickBot="1" x14ac:dyDescent="0.3">
      <c r="A11" s="48">
        <f ca="1">SUMSQ(INDIRECT(pomocny!H6))</f>
        <v>3366.6365999999998</v>
      </c>
      <c r="B11" s="49">
        <f ca="1">D9/SQRT(B4)</f>
        <v>5.4798331570013584E-2</v>
      </c>
      <c r="C11" s="49">
        <f ca="1">VARP(INDIRECT(pomocny!H6))</f>
        <v>4.2040000000000063E-2</v>
      </c>
      <c r="D11" s="49">
        <f ca="1">STDEVP(INDIRECT(pomocny!H6))</f>
        <v>0.20503658210182898</v>
      </c>
      <c r="E11" s="49">
        <f ca="1">IF(ISERROR(pomocny!H8),"---",pomocny!H8)</f>
        <v>14.83</v>
      </c>
      <c r="F11" s="50">
        <f ca="1">D11/B9</f>
        <v>1.3687355280495929E-2</v>
      </c>
      <c r="G11" s="49">
        <f ca="1">I9-G9</f>
        <v>0.24499999999999922</v>
      </c>
      <c r="H11" s="49">
        <f ca="1">G11/2</f>
        <v>0.12249999999999961</v>
      </c>
      <c r="I11" s="49">
        <f ca="1">J9-F9</f>
        <v>0.4480000000000004</v>
      </c>
      <c r="J11" s="49">
        <f ca="1">I11/8</f>
        <v>5.600000000000005E-2</v>
      </c>
      <c r="K11" s="49">
        <f ca="1">KURT(INDIRECT(pomocny!H6))</f>
        <v>1.0335954699874588</v>
      </c>
      <c r="L11" s="51">
        <f ca="1">((B4-2)*(B4-3)*K11)/((B4-1)*(B4+1))-6/(B4+1)</f>
        <v>0.34482541659840871</v>
      </c>
      <c r="N11" s="53"/>
    </row>
    <row r="12" spans="1:16" s="54" customFormat="1" ht="24.4" customHeight="1" x14ac:dyDescent="0.25">
      <c r="A12" s="42"/>
      <c r="B12" s="55"/>
      <c r="C12" s="55"/>
      <c r="D12" s="55"/>
      <c r="E12" s="55"/>
      <c r="F12" s="56"/>
      <c r="G12" s="55"/>
      <c r="H12" s="55"/>
      <c r="I12" s="55"/>
      <c r="J12" s="55"/>
      <c r="K12" s="55"/>
      <c r="L12" s="55"/>
      <c r="N12" s="53"/>
    </row>
    <row r="13" spans="1:16" s="54" customFormat="1" ht="24.4" customHeight="1" x14ac:dyDescent="0.25">
      <c r="A13" s="42"/>
      <c r="B13" s="55"/>
      <c r="C13" s="55"/>
      <c r="D13" s="55"/>
      <c r="E13" s="55"/>
      <c r="F13" s="56"/>
      <c r="G13" s="55"/>
      <c r="H13" s="55"/>
      <c r="I13" s="55"/>
      <c r="J13" s="55"/>
      <c r="K13" s="55"/>
      <c r="L13" s="55"/>
      <c r="N13" s="53"/>
    </row>
    <row r="14" spans="1:16" s="54" customFormat="1" ht="24.4" customHeight="1" x14ac:dyDescent="0.25">
      <c r="A14" s="42"/>
      <c r="B14" s="55"/>
      <c r="C14" s="55"/>
      <c r="D14" s="55"/>
      <c r="E14" s="55"/>
      <c r="F14" s="56"/>
      <c r="G14" s="55"/>
      <c r="H14" s="55"/>
      <c r="I14" s="55"/>
      <c r="J14" s="55"/>
      <c r="K14" s="55"/>
      <c r="L14" s="55"/>
      <c r="N14" s="53"/>
    </row>
    <row r="15" spans="1:16" s="54" customFormat="1" ht="24.4" customHeight="1" x14ac:dyDescent="0.25">
      <c r="A15" s="42"/>
      <c r="B15" s="55"/>
      <c r="C15" s="55"/>
      <c r="D15" s="55"/>
      <c r="E15" s="55"/>
      <c r="F15" s="56"/>
      <c r="G15" s="55"/>
      <c r="H15" s="55"/>
      <c r="I15" s="55"/>
      <c r="J15" s="55"/>
      <c r="K15" s="55"/>
      <c r="L15" s="55"/>
      <c r="N15" s="53"/>
    </row>
    <row r="16" spans="1:16" s="54" customFormat="1" ht="24.4" customHeight="1" x14ac:dyDescent="0.25">
      <c r="A16" s="42"/>
      <c r="B16" s="55"/>
      <c r="C16" s="55"/>
      <c r="D16" s="55"/>
      <c r="E16" s="55"/>
      <c r="F16" s="56"/>
      <c r="G16" s="55"/>
      <c r="H16" s="55"/>
      <c r="I16" s="55"/>
      <c r="J16" s="55"/>
      <c r="K16" s="55"/>
      <c r="L16" s="55"/>
      <c r="N16" s="53"/>
    </row>
    <row r="17" spans="1:23" s="54" customFormat="1" ht="24.4" customHeight="1" x14ac:dyDescent="0.25">
      <c r="A17" s="42"/>
      <c r="B17" s="55"/>
      <c r="C17" s="55"/>
      <c r="D17" s="55"/>
      <c r="E17" s="55"/>
      <c r="F17" s="56"/>
      <c r="G17" s="55"/>
      <c r="H17" s="55"/>
      <c r="I17" s="55"/>
      <c r="J17" s="55"/>
      <c r="K17" s="55"/>
      <c r="L17" s="55"/>
      <c r="N17" s="53"/>
    </row>
    <row r="18" spans="1:23" s="54" customFormat="1" ht="24.4" customHeight="1" x14ac:dyDescent="0.25">
      <c r="A18" s="42"/>
      <c r="B18" s="55"/>
      <c r="C18" s="55"/>
      <c r="D18" s="55"/>
      <c r="E18" s="55"/>
      <c r="F18" s="56"/>
      <c r="G18" s="55"/>
      <c r="H18" s="55"/>
      <c r="I18" s="55"/>
      <c r="J18" s="55"/>
      <c r="K18" s="55"/>
      <c r="L18" s="55"/>
      <c r="N18" s="53"/>
    </row>
    <row r="19" spans="1:23" s="54" customFormat="1" ht="24.4" customHeight="1" x14ac:dyDescent="0.25">
      <c r="A19" s="42"/>
      <c r="B19" s="55"/>
      <c r="C19" s="55"/>
      <c r="D19" s="55"/>
      <c r="E19" s="55"/>
      <c r="F19" s="56"/>
      <c r="G19" s="55"/>
      <c r="H19" s="55"/>
      <c r="I19" s="55"/>
      <c r="J19" s="55"/>
      <c r="K19" s="55"/>
      <c r="L19" s="55"/>
      <c r="N19" s="53"/>
    </row>
    <row r="20" spans="1:23" s="54" customFormat="1" ht="24.4" customHeight="1" x14ac:dyDescent="0.25">
      <c r="A20" s="42"/>
      <c r="B20" s="55"/>
      <c r="C20" s="55"/>
      <c r="D20" s="55"/>
      <c r="E20" s="55"/>
      <c r="F20" s="56"/>
      <c r="G20" s="55"/>
      <c r="H20" s="55"/>
      <c r="I20" s="55"/>
      <c r="J20" s="55"/>
      <c r="K20" s="55"/>
      <c r="L20" s="55"/>
      <c r="N20" s="53"/>
    </row>
    <row r="21" spans="1:23" s="54" customFormat="1" ht="24.4" customHeight="1" x14ac:dyDescent="0.25">
      <c r="A21" s="42"/>
      <c r="B21" s="55"/>
      <c r="C21" s="55"/>
      <c r="D21" s="55"/>
      <c r="E21" s="55"/>
      <c r="F21" s="56"/>
      <c r="G21" s="55"/>
      <c r="H21" s="55"/>
      <c r="I21" s="55"/>
      <c r="J21" s="55"/>
      <c r="K21" s="55"/>
      <c r="L21" s="55"/>
      <c r="N21" s="53"/>
    </row>
    <row r="22" spans="1:23" s="54" customFormat="1" ht="24.4" customHeight="1" x14ac:dyDescent="0.25">
      <c r="A22" s="42"/>
      <c r="B22" s="55"/>
      <c r="C22" s="55"/>
      <c r="D22" s="55"/>
      <c r="E22" s="55"/>
      <c r="F22" s="56"/>
      <c r="G22" s="55"/>
      <c r="H22" s="55"/>
      <c r="I22" s="55"/>
      <c r="J22" s="55"/>
      <c r="K22" s="55"/>
      <c r="L22" s="55"/>
      <c r="N22" s="53"/>
    </row>
    <row r="23" spans="1:23" s="54" customFormat="1" ht="24.4" customHeight="1" x14ac:dyDescent="0.25">
      <c r="A23" s="42"/>
      <c r="B23" s="55"/>
      <c r="C23" s="55"/>
      <c r="D23" s="55"/>
      <c r="E23" s="55"/>
      <c r="F23" s="56"/>
      <c r="G23" s="55"/>
      <c r="H23" s="55"/>
      <c r="I23" s="55"/>
      <c r="J23" s="55"/>
      <c r="K23" s="55"/>
      <c r="L23" s="55"/>
      <c r="N23" s="53"/>
    </row>
    <row r="24" spans="1:23" s="42" customFormat="1" ht="24.4" customHeight="1" x14ac:dyDescent="0.25">
      <c r="A24" s="4"/>
      <c r="C24" s="4"/>
      <c r="E24" s="55"/>
      <c r="F24" s="55"/>
      <c r="G24" s="56"/>
      <c r="H24" s="55"/>
      <c r="I24" s="55"/>
      <c r="J24" s="55"/>
      <c r="K24" s="55"/>
      <c r="L24" s="55"/>
      <c r="M24" s="55"/>
      <c r="N24" s="128"/>
    </row>
    <row r="25" spans="1:23" s="10" customFormat="1" ht="24.4" customHeight="1" x14ac:dyDescent="0.35">
      <c r="A25" s="278" t="s">
        <v>167</v>
      </c>
      <c r="B25" s="278"/>
      <c r="C25" s="279" t="s">
        <v>178</v>
      </c>
      <c r="D25" s="277"/>
      <c r="E25" s="228">
        <v>0.05</v>
      </c>
      <c r="F25" s="280"/>
    </row>
    <row r="26" spans="1:23" ht="24.4" customHeight="1" thickBot="1" x14ac:dyDescent="0.4">
      <c r="A26" s="274" t="s">
        <v>181</v>
      </c>
      <c r="B26" s="274"/>
      <c r="F26" s="58"/>
      <c r="H26" s="314"/>
    </row>
    <row r="27" spans="1:23" ht="24.4" customHeight="1" x14ac:dyDescent="0.35">
      <c r="A27" s="107" t="s">
        <v>42</v>
      </c>
      <c r="B27" s="106" t="s">
        <v>111</v>
      </c>
      <c r="C27" s="59" t="s">
        <v>87</v>
      </c>
      <c r="D27" s="59" t="s">
        <v>121</v>
      </c>
      <c r="E27" s="60" t="s">
        <v>86</v>
      </c>
      <c r="J27" s="57"/>
      <c r="R27" s="381"/>
      <c r="S27" s="381"/>
      <c r="T27" s="381"/>
      <c r="U27"/>
      <c r="V27"/>
      <c r="W27"/>
    </row>
    <row r="28" spans="1:23" ht="24.4" customHeight="1" thickBot="1" x14ac:dyDescent="0.4">
      <c r="A28" s="62">
        <f ca="1">L9</f>
        <v>0.85450393916517164</v>
      </c>
      <c r="B28" s="63">
        <f ca="1">6*(B4-2)/((B4+1)*(B4+3))</f>
        <v>0.27083333333333331</v>
      </c>
      <c r="C28" s="49">
        <f ca="1">A28/B28^0.5</f>
        <v>1.6419616583723211</v>
      </c>
      <c r="D28" s="205">
        <f>NORMINV(1-E25/2,0,1)</f>
        <v>1.9599639845400536</v>
      </c>
      <c r="E28" s="109">
        <f ca="1">2*MIN(NORMSDIST(C28),1-NORMSDIST(C28))</f>
        <v>0.1005979502870884</v>
      </c>
      <c r="F28" s="572" t="str">
        <f ca="1">IF(ABS(C28)&gt;=D28,"→ nulová šikmost se zamítá","→ nulová šikmost se nezamítá")</f>
        <v>→ nulová šikmost se nezamítá</v>
      </c>
      <c r="G28" s="572"/>
      <c r="H28" s="573"/>
      <c r="I28" s="65"/>
      <c r="J28" s="57"/>
      <c r="R28"/>
      <c r="S28"/>
      <c r="T28"/>
      <c r="U28"/>
      <c r="V28" s="380"/>
      <c r="W28"/>
    </row>
    <row r="29" spans="1:23" ht="24.4" customHeight="1" thickBot="1" x14ac:dyDescent="0.4">
      <c r="A29" s="274" t="s">
        <v>180</v>
      </c>
      <c r="B29" s="274"/>
      <c r="E29" s="57"/>
      <c r="G29" s="65"/>
      <c r="J29" s="57"/>
      <c r="L29" s="64"/>
      <c r="R29"/>
      <c r="S29"/>
      <c r="T29"/>
      <c r="U29"/>
      <c r="V29" s="380"/>
      <c r="W29"/>
    </row>
    <row r="30" spans="1:23" ht="24.4" customHeight="1" x14ac:dyDescent="0.35">
      <c r="A30" s="108" t="s">
        <v>41</v>
      </c>
      <c r="B30" s="106" t="s">
        <v>112</v>
      </c>
      <c r="C30" s="59" t="s">
        <v>88</v>
      </c>
      <c r="D30" s="59" t="s">
        <v>121</v>
      </c>
      <c r="E30" s="60" t="s">
        <v>86</v>
      </c>
      <c r="H30" s="114"/>
      <c r="I30" s="61"/>
      <c r="J30" s="229"/>
      <c r="K30" s="61"/>
      <c r="L30" s="61"/>
      <c r="M30" s="46"/>
      <c r="R30"/>
      <c r="S30"/>
      <c r="T30"/>
      <c r="U30"/>
      <c r="V30"/>
      <c r="W30"/>
    </row>
    <row r="31" spans="1:23" ht="24.4" customHeight="1" thickBot="1" x14ac:dyDescent="0.4">
      <c r="A31" s="62">
        <f ca="1">L11</f>
        <v>0.34482541659840871</v>
      </c>
      <c r="B31" s="63">
        <f ca="1">24*B4*(B4-2)*(B4-3)/((B4+1)^2*(B4+3)*(B4+5))</f>
        <v>0.609375</v>
      </c>
      <c r="C31" s="49">
        <f ca="1">(A31+6/(B4+1))/B31^0.5</f>
        <v>0.92211452017504725</v>
      </c>
      <c r="D31" s="205">
        <f>NORMINV(1-E25/2,0,1)</f>
        <v>1.9599639845400536</v>
      </c>
      <c r="E31" s="109">
        <f ca="1">2*MIN(NORMSDIST(C31),1-NORMSDIST(C31))</f>
        <v>0.35646884384463062</v>
      </c>
      <c r="F31" s="574" t="str">
        <f ca="1">IF(ABS(C31)&gt;=D31,"→ nulová špičatost se zamítá","→ nulová špičatost se nezamítá")</f>
        <v>→ nulová špičatost se nezamítá</v>
      </c>
      <c r="G31" s="575"/>
      <c r="H31" s="576"/>
      <c r="I31" s="67"/>
      <c r="J31" s="71"/>
      <c r="K31" s="66"/>
      <c r="L31" s="66"/>
      <c r="M31" s="46"/>
      <c r="R31"/>
      <c r="S31"/>
      <c r="T31"/>
      <c r="U31"/>
      <c r="V31"/>
      <c r="W31"/>
    </row>
    <row r="32" spans="1:23" s="44" customFormat="1" ht="24.4" customHeight="1" thickBot="1" x14ac:dyDescent="0.4">
      <c r="A32" s="274" t="s">
        <v>179</v>
      </c>
      <c r="B32" s="274"/>
      <c r="C32" s="274"/>
      <c r="D32" s="274"/>
      <c r="E32" s="274"/>
      <c r="F32" s="46"/>
      <c r="G32" s="46"/>
      <c r="J32" s="72"/>
      <c r="R32"/>
      <c r="S32"/>
      <c r="T32"/>
      <c r="U32"/>
      <c r="V32"/>
      <c r="W32"/>
    </row>
    <row r="33" spans="1:23" s="44" customFormat="1" ht="24.4" customHeight="1" x14ac:dyDescent="0.35">
      <c r="A33" s="138" t="s">
        <v>87</v>
      </c>
      <c r="B33" s="139" t="s">
        <v>88</v>
      </c>
      <c r="C33" s="59" t="s">
        <v>89</v>
      </c>
      <c r="D33" s="142" t="s">
        <v>122</v>
      </c>
      <c r="E33" s="70" t="s">
        <v>86</v>
      </c>
      <c r="F33" s="68"/>
      <c r="G33" s="71"/>
      <c r="H33" s="42"/>
      <c r="I33" s="230"/>
      <c r="J33" s="69"/>
      <c r="K33" s="46"/>
      <c r="L33" s="46"/>
      <c r="M33" s="46"/>
      <c r="R33"/>
      <c r="S33"/>
      <c r="T33"/>
      <c r="U33"/>
      <c r="V33"/>
      <c r="W33"/>
    </row>
    <row r="34" spans="1:23" s="44" customFormat="1" ht="24.4" customHeight="1" thickBot="1" x14ac:dyDescent="0.4">
      <c r="A34" s="140">
        <f ca="1">C28</f>
        <v>1.6419616583723211</v>
      </c>
      <c r="B34" s="141">
        <f ca="1">C31</f>
        <v>0.92211452017504725</v>
      </c>
      <c r="C34" s="49">
        <f ca="1">A34^2+B34^2</f>
        <v>3.5463332758824406</v>
      </c>
      <c r="D34" s="205">
        <f>CHIINV(E25,2)</f>
        <v>5.9914645471079817</v>
      </c>
      <c r="E34" s="51">
        <f ca="1">CHIDIST(C34,2)</f>
        <v>0.16979445903480034</v>
      </c>
      <c r="F34" s="577" t="str">
        <f ca="1">IF(C34&gt;=D34,"→ normální rozdělení se zamítá","→ normální rozdělení se nezamítá")</f>
        <v>→ normální rozdělení se nezamítá</v>
      </c>
      <c r="G34" s="578"/>
      <c r="H34" s="579"/>
      <c r="I34" s="231"/>
      <c r="K34" s="46"/>
      <c r="L34" s="46"/>
      <c r="M34" s="46"/>
      <c r="R34"/>
      <c r="S34"/>
      <c r="T34"/>
      <c r="U34"/>
      <c r="V34"/>
      <c r="W34"/>
    </row>
    <row r="35" spans="1:23" s="44" customFormat="1" ht="24.4" customHeight="1" x14ac:dyDescent="0.35">
      <c r="F35" s="46"/>
      <c r="G35" s="46"/>
      <c r="I35" s="73"/>
      <c r="J35" s="53"/>
      <c r="K35" s="53"/>
      <c r="L35" s="53"/>
      <c r="M35" s="53"/>
      <c r="R35"/>
      <c r="S35"/>
      <c r="T35"/>
      <c r="U35"/>
      <c r="V35"/>
      <c r="W35"/>
    </row>
    <row r="36" spans="1:23" s="44" customFormat="1" ht="24.4" customHeight="1" thickBot="1" x14ac:dyDescent="0.4">
      <c r="A36" s="279" t="s">
        <v>224</v>
      </c>
      <c r="B36" s="279"/>
      <c r="C36" s="279"/>
      <c r="D36" s="279"/>
      <c r="E36" s="279"/>
      <c r="F36" s="46"/>
      <c r="G36" s="46"/>
      <c r="I36" s="73"/>
      <c r="J36" s="53"/>
      <c r="K36" s="53"/>
      <c r="L36" s="53"/>
      <c r="M36" s="53"/>
      <c r="R36"/>
      <c r="S36"/>
      <c r="T36"/>
      <c r="U36"/>
      <c r="V36"/>
      <c r="W36"/>
    </row>
    <row r="37" spans="1:23" s="44" customFormat="1" ht="24.4" customHeight="1" x14ac:dyDescent="0.35">
      <c r="A37" s="108" t="s">
        <v>58</v>
      </c>
      <c r="B37" s="106" t="s">
        <v>226</v>
      </c>
      <c r="C37" s="361" t="s">
        <v>60</v>
      </c>
      <c r="D37" s="139" t="s">
        <v>9</v>
      </c>
      <c r="E37" s="59" t="s">
        <v>220</v>
      </c>
      <c r="F37" s="59" t="s">
        <v>121</v>
      </c>
      <c r="G37" s="60" t="s">
        <v>86</v>
      </c>
      <c r="H37" s="2"/>
      <c r="I37" s="2"/>
      <c r="J37" s="2"/>
      <c r="K37" s="53"/>
      <c r="L37" s="53"/>
      <c r="M37" s="53"/>
      <c r="R37"/>
      <c r="S37"/>
      <c r="T37"/>
      <c r="U37"/>
      <c r="V37"/>
      <c r="W37"/>
    </row>
    <row r="38" spans="1:23" s="44" customFormat="1" ht="24.4" customHeight="1" thickBot="1" x14ac:dyDescent="0.3">
      <c r="A38" s="62">
        <f ca="1">3*(B4^2+27*B4-70)*(B4+1)*(B4+3)/((B4-2)*(B4+5)*(B4+7)*(B4+9))</f>
        <v>3.5244755244755246</v>
      </c>
      <c r="B38" s="63">
        <f ca="1">(2*(A38-1))^0.5-1</f>
        <v>1.2469871047585142</v>
      </c>
      <c r="C38" s="63">
        <f ca="1">1/(LN(B38^0.5))^0.5</f>
        <v>3.010121292823583</v>
      </c>
      <c r="D38" s="63">
        <f ca="1">(2/(B38-1))^0.5</f>
        <v>2.8456262485446375</v>
      </c>
      <c r="E38" s="49">
        <f ca="1">A44</f>
        <v>1.652597310403024</v>
      </c>
      <c r="F38" s="205">
        <f>NORMINV(1-E25/2,0,1)</f>
        <v>1.9599639845400536</v>
      </c>
      <c r="G38" s="109">
        <f ca="1">2*MIN(NORMSDIST(E38),1-NORMSDIST(E38))</f>
        <v>9.841284583768628E-2</v>
      </c>
      <c r="H38" s="357" t="str">
        <f ca="1">IF(ABS(E38)&gt;=F38,"→ nulová šikmost se zamítá","→ nulová šikmost se nezamítá")</f>
        <v>→ nulová šikmost se nezamítá</v>
      </c>
      <c r="I38" s="357"/>
      <c r="J38" s="358"/>
      <c r="K38" s="53"/>
      <c r="L38" s="53"/>
      <c r="M38" s="53"/>
      <c r="R38"/>
      <c r="S38"/>
      <c r="T38"/>
      <c r="U38"/>
      <c r="V38"/>
      <c r="W38"/>
    </row>
    <row r="39" spans="1:23" s="44" customFormat="1" ht="24.4" customHeight="1" thickBot="1" x14ac:dyDescent="0.4">
      <c r="A39" s="274" t="s">
        <v>225</v>
      </c>
      <c r="B39" s="279"/>
      <c r="C39" s="279"/>
      <c r="D39" s="279"/>
      <c r="E39" s="279"/>
      <c r="F39" s="46"/>
      <c r="G39" s="46"/>
      <c r="I39" s="73"/>
      <c r="J39" s="53"/>
      <c r="K39" s="53"/>
      <c r="L39" s="53"/>
      <c r="M39" s="53"/>
      <c r="R39"/>
      <c r="S39"/>
      <c r="T39"/>
      <c r="U39"/>
      <c r="V39"/>
      <c r="W39"/>
    </row>
    <row r="40" spans="1:23" s="44" customFormat="1" ht="24.4" customHeight="1" x14ac:dyDescent="0.35">
      <c r="A40" s="108" t="s">
        <v>223</v>
      </c>
      <c r="B40" s="106" t="s">
        <v>20</v>
      </c>
      <c r="C40" s="360" t="s">
        <v>221</v>
      </c>
      <c r="D40" s="59" t="s">
        <v>121</v>
      </c>
      <c r="E40" s="60" t="s">
        <v>86</v>
      </c>
      <c r="F40" s="2"/>
      <c r="G40" s="2"/>
      <c r="H40" s="114"/>
      <c r="I40" s="73"/>
      <c r="J40" s="53"/>
      <c r="K40" s="53"/>
      <c r="L40" s="53"/>
      <c r="M40" s="53"/>
      <c r="R40"/>
      <c r="S40"/>
      <c r="T40"/>
      <c r="U40"/>
      <c r="V40"/>
      <c r="W40"/>
    </row>
    <row r="41" spans="1:23" s="44" customFormat="1" ht="24.4" customHeight="1" thickBot="1" x14ac:dyDescent="0.3">
      <c r="A41" s="62">
        <f ca="1">6*(B4^2-5*B4+2)/((B4+7)*(B4+9))*SQRT(6*(B4+3)*(B4+5)/(B4*(B4-2)*(B4-3)))</f>
        <v>1.6595099576163577</v>
      </c>
      <c r="B41" s="63">
        <f ca="1">6+8/A41*(2/A41+SQRT(1+4/A41^2))</f>
        <v>19.359144074915235</v>
      </c>
      <c r="C41" s="49">
        <f ca="1">B44</f>
        <v>1.0478321214904627</v>
      </c>
      <c r="D41" s="205">
        <f>NORMINV(1-E25/2,0,1)</f>
        <v>1.9599639845400536</v>
      </c>
      <c r="E41" s="109">
        <f ca="1">2*MIN(NORMSDIST(C41),1-NORMSDIST(C41))</f>
        <v>0.29471596033128589</v>
      </c>
      <c r="F41" s="574" t="str">
        <f ca="1">IF(ABS(C41)&gt;=D41,"→ nulová špičatost se zamítá","→ nulová špičatost se nezamítá")</f>
        <v>→ nulová špičatost se nezamítá</v>
      </c>
      <c r="G41" s="575"/>
      <c r="H41" s="576"/>
      <c r="I41" s="73"/>
      <c r="J41" s="53"/>
      <c r="K41" s="53"/>
      <c r="L41" s="53"/>
      <c r="M41" s="53"/>
      <c r="R41"/>
      <c r="S41"/>
      <c r="T41"/>
      <c r="U41"/>
      <c r="V41"/>
      <c r="W41"/>
    </row>
    <row r="42" spans="1:23" s="44" customFormat="1" ht="24.4" customHeight="1" thickBot="1" x14ac:dyDescent="0.4">
      <c r="A42" s="274" t="s">
        <v>219</v>
      </c>
      <c r="B42" s="274"/>
      <c r="C42" s="274"/>
      <c r="D42" s="274"/>
      <c r="E42" s="274"/>
      <c r="F42" s="46"/>
      <c r="G42" s="46"/>
      <c r="I42" s="73"/>
      <c r="J42" s="53"/>
      <c r="K42" s="53"/>
      <c r="L42" s="53"/>
      <c r="M42" s="53"/>
      <c r="R42"/>
      <c r="S42"/>
      <c r="T42"/>
      <c r="U42"/>
      <c r="V42"/>
      <c r="W42"/>
    </row>
    <row r="43" spans="1:23" s="44" customFormat="1" ht="24.4" customHeight="1" x14ac:dyDescent="0.35">
      <c r="A43" s="138" t="s">
        <v>220</v>
      </c>
      <c r="B43" s="359" t="s">
        <v>221</v>
      </c>
      <c r="C43" s="59" t="s">
        <v>222</v>
      </c>
      <c r="D43" s="142" t="s">
        <v>122</v>
      </c>
      <c r="E43" s="70" t="s">
        <v>86</v>
      </c>
      <c r="F43" s="68"/>
      <c r="G43" s="71"/>
      <c r="H43" s="42"/>
      <c r="I43" s="74"/>
      <c r="J43" s="75"/>
      <c r="K43" s="75"/>
      <c r="R43"/>
      <c r="S43"/>
      <c r="T43"/>
      <c r="U43"/>
      <c r="V43"/>
      <c r="W43"/>
    </row>
    <row r="44" spans="1:23" s="44" customFormat="1" ht="24.4" customHeight="1" thickBot="1" x14ac:dyDescent="0.3">
      <c r="A44" s="62">
        <f ca="1">C38*LN(A34/D38+((A34/D38)^2+1)^0.5)</f>
        <v>1.652597310403024</v>
      </c>
      <c r="B44" s="63">
        <f ca="1">(1-2/(9*B41)-((1-2/B41)/(1+B34*SQRT(2/(B41-4))))^(1/3))/SQRT(2/(9*B41))</f>
        <v>1.0478321214904627</v>
      </c>
      <c r="C44" s="49">
        <f ca="1">A44^2+B44^2</f>
        <v>3.829030025178513</v>
      </c>
      <c r="D44" s="205">
        <f>CHIINV(E25,2)</f>
        <v>5.9914645471079817</v>
      </c>
      <c r="E44" s="51">
        <f ca="1">CHIDIST(C44,2)</f>
        <v>0.14741330885118545</v>
      </c>
      <c r="F44" s="577" t="str">
        <f ca="1">IF(C44&gt;=D44,"→ normální rozdělení se zamítá","→ normální rozdělení se nezamítá")</f>
        <v>→ normální rozdělení se nezamítá</v>
      </c>
      <c r="G44" s="578"/>
      <c r="H44" s="579"/>
      <c r="I44" s="76"/>
      <c r="J44" s="362"/>
      <c r="K44" s="55"/>
      <c r="R44"/>
      <c r="S44"/>
      <c r="T44"/>
      <c r="U44"/>
      <c r="V44"/>
      <c r="W44"/>
    </row>
    <row r="45" spans="1:23" s="44" customFormat="1" ht="24.4" customHeight="1" x14ac:dyDescent="0.35">
      <c r="A45" s="5"/>
      <c r="C45" s="46"/>
      <c r="D45" s="46"/>
      <c r="E45" s="46"/>
      <c r="F45" s="46"/>
      <c r="G45" s="46"/>
      <c r="I45" s="75"/>
      <c r="J45" s="77"/>
      <c r="K45" s="75"/>
      <c r="R45"/>
      <c r="S45"/>
      <c r="T45"/>
      <c r="U45"/>
      <c r="V45"/>
      <c r="W45"/>
    </row>
    <row r="46" spans="1:23" s="44" customFormat="1" ht="24.4" customHeight="1" x14ac:dyDescent="0.25">
      <c r="A46" s="5"/>
      <c r="R46"/>
      <c r="S46"/>
      <c r="T46"/>
      <c r="U46"/>
      <c r="V46"/>
      <c r="W46"/>
    </row>
    <row r="47" spans="1:23" s="79" customFormat="1" ht="24.4" customHeight="1" thickBot="1" x14ac:dyDescent="0.3">
      <c r="A47" s="346"/>
      <c r="B47" s="346"/>
      <c r="C47" s="346"/>
      <c r="D47" s="346"/>
      <c r="E47" s="346"/>
      <c r="F47" s="346"/>
      <c r="G47" s="346"/>
      <c r="H47" s="346"/>
      <c r="I47" s="346"/>
      <c r="J47" s="346"/>
      <c r="K47" s="346"/>
      <c r="L47" s="346"/>
      <c r="M47" s="346"/>
      <c r="N47" s="346"/>
    </row>
    <row r="48" spans="1:23" s="79" customFormat="1" ht="24.4" customHeight="1" x14ac:dyDescent="0.25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</row>
    <row r="49" spans="1:12" s="79" customFormat="1" ht="24.4" customHeight="1" x14ac:dyDescent="0.25">
      <c r="A49" s="304" t="s">
        <v>183</v>
      </c>
      <c r="B49" s="80"/>
      <c r="C49" s="80"/>
      <c r="D49" s="81"/>
      <c r="E49" s="80"/>
      <c r="F49" s="80"/>
      <c r="G49" s="80"/>
      <c r="H49" s="80"/>
      <c r="I49" s="80"/>
      <c r="J49" s="80"/>
      <c r="K49" s="80"/>
      <c r="L49" s="80"/>
    </row>
    <row r="50" spans="1:12" s="79" customFormat="1" ht="24.4" customHeight="1" thickBot="1" x14ac:dyDescent="0.3">
      <c r="A50" s="184" t="s">
        <v>188</v>
      </c>
      <c r="D50" s="81"/>
      <c r="F50" s="81"/>
      <c r="H50" s="81"/>
      <c r="I50" s="184"/>
      <c r="J50" s="184"/>
      <c r="K50" s="81"/>
    </row>
    <row r="51" spans="1:12" s="79" customFormat="1" ht="24.4" customHeight="1" x14ac:dyDescent="0.25">
      <c r="A51" s="143" t="s">
        <v>0</v>
      </c>
      <c r="B51" s="144" t="s">
        <v>243</v>
      </c>
      <c r="C51" s="70" t="s">
        <v>242</v>
      </c>
      <c r="D51" s="81"/>
      <c r="F51" s="383"/>
      <c r="G51" s="79" t="s">
        <v>184</v>
      </c>
      <c r="H51" s="184"/>
      <c r="I51" s="81"/>
      <c r="J51" s="341"/>
      <c r="K51" s="81"/>
    </row>
    <row r="52" spans="1:12" s="79" customFormat="1" ht="24.4" customHeight="1" thickBot="1" x14ac:dyDescent="0.3">
      <c r="A52" s="303">
        <v>15</v>
      </c>
      <c r="B52" s="311">
        <v>0.85499999999999998</v>
      </c>
      <c r="C52" s="312">
        <v>0.34499999999999997</v>
      </c>
      <c r="D52" s="308"/>
      <c r="F52" s="158"/>
      <c r="H52" s="83"/>
      <c r="I52" s="81"/>
      <c r="J52" s="157"/>
      <c r="K52" s="81"/>
    </row>
    <row r="53" spans="1:12" ht="24.4" customHeight="1" x14ac:dyDescent="0.35">
      <c r="A53" s="66"/>
      <c r="D53" s="57"/>
      <c r="F53" s="57"/>
      <c r="H53" s="57"/>
      <c r="I53" s="57"/>
      <c r="J53" s="57"/>
      <c r="K53" s="57"/>
    </row>
    <row r="54" spans="1:12" ht="24.4" customHeight="1" x14ac:dyDescent="0.35">
      <c r="A54" s="278" t="s">
        <v>167</v>
      </c>
      <c r="B54" s="278"/>
      <c r="C54" s="279" t="s">
        <v>178</v>
      </c>
      <c r="D54" s="277"/>
      <c r="E54" s="228">
        <v>0.05</v>
      </c>
      <c r="F54" s="382"/>
      <c r="G54" s="10"/>
      <c r="H54" s="10"/>
    </row>
    <row r="55" spans="1:12" ht="24.4" customHeight="1" thickBot="1" x14ac:dyDescent="0.4">
      <c r="A55" s="274" t="s">
        <v>181</v>
      </c>
      <c r="B55" s="274"/>
      <c r="F55" s="58"/>
      <c r="H55" s="314"/>
    </row>
    <row r="56" spans="1:12" ht="24.4" customHeight="1" x14ac:dyDescent="0.35">
      <c r="A56" s="107" t="s">
        <v>42</v>
      </c>
      <c r="B56" s="106" t="s">
        <v>111</v>
      </c>
      <c r="C56" s="59" t="s">
        <v>87</v>
      </c>
      <c r="D56" s="59" t="s">
        <v>121</v>
      </c>
      <c r="E56" s="60" t="s">
        <v>86</v>
      </c>
    </row>
    <row r="57" spans="1:12" ht="24.4" customHeight="1" thickBot="1" x14ac:dyDescent="0.4">
      <c r="A57" s="62">
        <f>B52</f>
        <v>0.85499999999999998</v>
      </c>
      <c r="B57" s="63">
        <f>6*(A52-2)/((A52+1)*(A52+3))</f>
        <v>0.27083333333333331</v>
      </c>
      <c r="C57" s="49">
        <f>A57/B57^0.5</f>
        <v>1.642914858040194</v>
      </c>
      <c r="D57" s="205">
        <f>NORMINV(1-E54/2,0,1)</f>
        <v>1.9599639845400536</v>
      </c>
      <c r="E57" s="109">
        <f>2*MIN(NORMSDIST(C57),1-NORMSDIST(C57))</f>
        <v>0.1004005504320975</v>
      </c>
      <c r="F57" s="572" t="str">
        <f>IF(ABS(C57)&gt;=D57,"→ nulová šikmost se zamítá","→ nulová šikmost se nezamítá")</f>
        <v>→ nulová šikmost se nezamítá</v>
      </c>
      <c r="G57" s="572"/>
      <c r="H57" s="573"/>
    </row>
    <row r="58" spans="1:12" ht="24.4" customHeight="1" thickBot="1" x14ac:dyDescent="0.4">
      <c r="A58" s="274" t="s">
        <v>180</v>
      </c>
      <c r="B58" s="274"/>
      <c r="E58" s="57"/>
      <c r="G58" s="65"/>
    </row>
    <row r="59" spans="1:12" ht="24.4" customHeight="1" x14ac:dyDescent="0.35">
      <c r="A59" s="108" t="s">
        <v>41</v>
      </c>
      <c r="B59" s="106" t="s">
        <v>112</v>
      </c>
      <c r="C59" s="59" t="s">
        <v>88</v>
      </c>
      <c r="D59" s="59" t="s">
        <v>121</v>
      </c>
      <c r="E59" s="60" t="s">
        <v>86</v>
      </c>
      <c r="H59" s="114"/>
    </row>
    <row r="60" spans="1:12" ht="24.4" customHeight="1" thickBot="1" x14ac:dyDescent="0.4">
      <c r="A60" s="62">
        <f>C52</f>
        <v>0.34499999999999997</v>
      </c>
      <c r="B60" s="63">
        <f>24*A52*(A52-2)*(A52-3)/((A52+1)^2*(A52+3)*(A52+5))</f>
        <v>0.609375</v>
      </c>
      <c r="C60" s="49">
        <f>(A60+6/(A52+1))/B60^0.5</f>
        <v>0.92233816591730189</v>
      </c>
      <c r="D60" s="205">
        <f>NORMINV(1-E54/2,0,1)</f>
        <v>1.9599639845400536</v>
      </c>
      <c r="E60" s="109">
        <f>2*MIN(NORMSDIST(C60),1-NORMSDIST(C60))</f>
        <v>0.35635221213078716</v>
      </c>
      <c r="F60" s="574" t="str">
        <f>IF(ABS(C60)&gt;=D60,"→ nulová špičatost se zamítá","→ nulová špičatost se nezamítá")</f>
        <v>→ nulová špičatost se nezamítá</v>
      </c>
      <c r="G60" s="575"/>
      <c r="H60" s="576"/>
    </row>
    <row r="61" spans="1:12" ht="24.4" customHeight="1" thickBot="1" x14ac:dyDescent="0.4">
      <c r="A61" s="274" t="s">
        <v>179</v>
      </c>
      <c r="B61" s="274"/>
      <c r="C61" s="274"/>
      <c r="D61" s="274"/>
      <c r="E61" s="274"/>
      <c r="F61" s="46"/>
      <c r="G61" s="46"/>
      <c r="H61" s="44"/>
    </row>
    <row r="62" spans="1:12" ht="24.4" customHeight="1" x14ac:dyDescent="0.35">
      <c r="A62" s="138" t="s">
        <v>87</v>
      </c>
      <c r="B62" s="139" t="s">
        <v>88</v>
      </c>
      <c r="C62" s="59" t="s">
        <v>89</v>
      </c>
      <c r="D62" s="142" t="s">
        <v>122</v>
      </c>
      <c r="E62" s="70" t="s">
        <v>86</v>
      </c>
      <c r="F62" s="68"/>
      <c r="G62" s="71"/>
      <c r="H62" s="42"/>
    </row>
    <row r="63" spans="1:12" ht="24.4" customHeight="1" thickBot="1" x14ac:dyDescent="0.4">
      <c r="A63" s="140">
        <f>C57</f>
        <v>1.642914858040194</v>
      </c>
      <c r="B63" s="141">
        <f>C60</f>
        <v>0.92233816591730189</v>
      </c>
      <c r="C63" s="49">
        <f>A63^2+B63^2</f>
        <v>3.5498769230769232</v>
      </c>
      <c r="D63" s="205">
        <f>CHIINV(E54,2)</f>
        <v>5.9914645471079817</v>
      </c>
      <c r="E63" s="51">
        <f>CHIDIST(C63,2)</f>
        <v>0.16949387957113052</v>
      </c>
      <c r="F63" s="577" t="str">
        <f>IF(C63&gt;=D63,"→ normální rozdělení se zamítá","→ normální rozdělení se nezamítá")</f>
        <v>→ normální rozdělení se nezamítá</v>
      </c>
      <c r="G63" s="578"/>
      <c r="H63" s="579"/>
    </row>
    <row r="64" spans="1:12" ht="24.4" customHeight="1" x14ac:dyDescent="0.35">
      <c r="A64" s="44"/>
      <c r="B64" s="44"/>
      <c r="C64" s="44"/>
      <c r="D64" s="44"/>
      <c r="E64" s="44"/>
      <c r="F64" s="46"/>
      <c r="G64" s="46"/>
      <c r="H64" s="44"/>
    </row>
    <row r="65" spans="1:10" ht="24.4" customHeight="1" thickBot="1" x14ac:dyDescent="0.4">
      <c r="A65" s="279" t="s">
        <v>224</v>
      </c>
      <c r="B65" s="279"/>
      <c r="C65" s="279"/>
      <c r="D65" s="279"/>
      <c r="E65" s="279"/>
      <c r="F65" s="46"/>
      <c r="G65" s="46"/>
      <c r="H65" s="44"/>
    </row>
    <row r="66" spans="1:10" ht="24.4" customHeight="1" x14ac:dyDescent="0.35">
      <c r="A66" s="108" t="s">
        <v>58</v>
      </c>
      <c r="B66" s="106" t="s">
        <v>226</v>
      </c>
      <c r="C66" s="361" t="s">
        <v>60</v>
      </c>
      <c r="D66" s="139" t="s">
        <v>9</v>
      </c>
      <c r="E66" s="59" t="s">
        <v>220</v>
      </c>
      <c r="F66" s="59" t="s">
        <v>121</v>
      </c>
      <c r="G66" s="60" t="s">
        <v>86</v>
      </c>
    </row>
    <row r="67" spans="1:10" ht="24.4" customHeight="1" thickBot="1" x14ac:dyDescent="0.4">
      <c r="A67" s="62">
        <f>3*(A52^2+27*A52-70)*(A52+1)*(A52+3)/((A52-2)*(A52+5)*(A52+7)*(A52+9))</f>
        <v>3.5244755244755246</v>
      </c>
      <c r="B67" s="63">
        <f>(2*(A67-1))^0.5-1</f>
        <v>1.2469871047585142</v>
      </c>
      <c r="C67" s="63">
        <f>1/(LN(B67^0.5))^0.5</f>
        <v>3.010121292823583</v>
      </c>
      <c r="D67" s="63">
        <f>(2/(B67-1))^0.5</f>
        <v>2.8456262485446375</v>
      </c>
      <c r="E67" s="49">
        <f>A73</f>
        <v>1.6534705887436074</v>
      </c>
      <c r="F67" s="205">
        <f>NORMINV(1-E54/2,0,1)</f>
        <v>1.9599639845400536</v>
      </c>
      <c r="G67" s="109">
        <f>2*MIN(NORMSDIST(E67),1-NORMSDIST(E67))</f>
        <v>9.8235127056410132E-2</v>
      </c>
      <c r="H67" s="580" t="str">
        <f>IF(ABS(E67)&gt;=F67,"→ nulová šikmost se zamítá","→ nulová šikmost se nezamítá")</f>
        <v>→ nulová šikmost se nezamítá</v>
      </c>
      <c r="I67" s="572"/>
      <c r="J67" s="573"/>
    </row>
    <row r="68" spans="1:10" ht="24.4" customHeight="1" thickBot="1" x14ac:dyDescent="0.4">
      <c r="A68" s="274" t="s">
        <v>225</v>
      </c>
      <c r="B68" s="279"/>
      <c r="C68" s="279"/>
      <c r="D68" s="279"/>
      <c r="E68" s="279"/>
      <c r="F68" s="46"/>
      <c r="G68" s="46"/>
      <c r="H68" s="44"/>
    </row>
    <row r="69" spans="1:10" ht="24.4" customHeight="1" x14ac:dyDescent="0.35">
      <c r="A69" s="108" t="s">
        <v>223</v>
      </c>
      <c r="B69" s="106" t="s">
        <v>20</v>
      </c>
      <c r="C69" s="360" t="s">
        <v>221</v>
      </c>
      <c r="D69" s="59" t="s">
        <v>121</v>
      </c>
      <c r="E69" s="60" t="s">
        <v>86</v>
      </c>
      <c r="H69" s="114"/>
    </row>
    <row r="70" spans="1:10" ht="24.4" customHeight="1" thickBot="1" x14ac:dyDescent="0.4">
      <c r="A70" s="62">
        <f>6*(A52^2-5*A52+2)/((A52+7)*(A52+9))*SQRT(6*(A52+3)*(A52+5)/(A52*(A52-2)*(A52-3)))</f>
        <v>1.6595099576163577</v>
      </c>
      <c r="B70" s="63">
        <f>6+8/A70*(2/A70+SQRT(1+4/A70^2))</f>
        <v>19.359144074915235</v>
      </c>
      <c r="C70" s="49">
        <f>B73</f>
        <v>1.0479971981627083</v>
      </c>
      <c r="D70" s="205">
        <f>NORMINV(1-E54/2,0,1)</f>
        <v>1.9599639845400536</v>
      </c>
      <c r="E70" s="109">
        <f>2*MIN(NORMSDIST(C70),1-NORMSDIST(C70))</f>
        <v>0.29463989777379584</v>
      </c>
      <c r="F70" s="574" t="str">
        <f>IF(ABS(C70)&gt;=D70,"→ nulová špičatost se zamítá","→ nulová špičatost se nezamítá")</f>
        <v>→ nulová špičatost se nezamítá</v>
      </c>
      <c r="G70" s="575"/>
      <c r="H70" s="576"/>
    </row>
    <row r="71" spans="1:10" ht="24.4" customHeight="1" thickBot="1" x14ac:dyDescent="0.4">
      <c r="A71" s="274" t="s">
        <v>219</v>
      </c>
      <c r="B71" s="274"/>
      <c r="C71" s="274"/>
      <c r="D71" s="274"/>
      <c r="E71" s="274"/>
      <c r="F71" s="46"/>
      <c r="G71" s="46"/>
      <c r="H71" s="44"/>
    </row>
    <row r="72" spans="1:10" ht="24.4" customHeight="1" x14ac:dyDescent="0.35">
      <c r="A72" s="138" t="s">
        <v>220</v>
      </c>
      <c r="B72" s="359" t="s">
        <v>221</v>
      </c>
      <c r="C72" s="59" t="s">
        <v>222</v>
      </c>
      <c r="D72" s="142" t="s">
        <v>122</v>
      </c>
      <c r="E72" s="70" t="s">
        <v>86</v>
      </c>
      <c r="F72" s="68"/>
      <c r="G72" s="71"/>
      <c r="H72" s="42"/>
    </row>
    <row r="73" spans="1:10" ht="24.4" customHeight="1" thickBot="1" x14ac:dyDescent="0.4">
      <c r="A73" s="62">
        <f>C67*LN(A63/D67+((A63/D67)^2+1)^0.5)</f>
        <v>1.6534705887436074</v>
      </c>
      <c r="B73" s="63">
        <f>(1-2/(9*B70)-((1-2/B70)/(1+B63*SQRT(2/(B70-4))))^(1/3))/SQRT(2/(9*B70))</f>
        <v>1.0479971981627083</v>
      </c>
      <c r="C73" s="49">
        <f>A73^2+B73^2</f>
        <v>3.8322631151970183</v>
      </c>
      <c r="D73" s="205">
        <f>CHIINV(E54,2)</f>
        <v>5.9914645471079817</v>
      </c>
      <c r="E73" s="51">
        <f>CHIDIST(C73,2)</f>
        <v>0.14717520111025706</v>
      </c>
      <c r="F73" s="577" t="str">
        <f>IF(C73&gt;=D73,"→ normální rozdělení se zamítá","→ normální rozdělení se nezamítá")</f>
        <v>→ normální rozdělení se nezamítá</v>
      </c>
      <c r="G73" s="578"/>
      <c r="H73" s="579"/>
    </row>
  </sheetData>
  <sheetProtection password="DBEF" sheet="1" formatCells="0"/>
  <mergeCells count="11">
    <mergeCell ref="F57:H57"/>
    <mergeCell ref="F60:H60"/>
    <mergeCell ref="F63:H63"/>
    <mergeCell ref="F70:H70"/>
    <mergeCell ref="F73:H73"/>
    <mergeCell ref="H67:J67"/>
    <mergeCell ref="F28:H28"/>
    <mergeCell ref="F31:H31"/>
    <mergeCell ref="F34:H34"/>
    <mergeCell ref="F44:H44"/>
    <mergeCell ref="F41:H41"/>
  </mergeCells>
  <phoneticPr fontId="7" type="noConversion"/>
  <printOptions horizontalCentered="1"/>
  <pageMargins left="0.98425196850393704" right="0.98425196850393704" top="0.86614173228346458" bottom="0.78740157480314965" header="0.51181102362204722" footer="0.51181102362204722"/>
  <pageSetup paperSize="9" scale="85" orientation="landscape" horizontalDpi="180" verticalDpi="180" r:id="rId1"/>
  <headerFooter alignWithMargins="0">
    <oddHeader>&amp;C&amp;12Elementární zpracování dat - popisné charakteristiky</oddHeader>
    <oddFooter>&amp;C&amp;8statvyp.xls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19457" r:id="rId4">
          <objectPr defaultSize="0" autoLine="0" r:id="rId5">
            <anchor moveWithCells="1">
              <from>
                <xdr:col>4</xdr:col>
                <xdr:colOff>285750</xdr:colOff>
                <xdr:row>7</xdr:row>
                <xdr:rowOff>69850</xdr:rowOff>
              </from>
              <to>
                <xdr:col>4</xdr:col>
                <xdr:colOff>469900</xdr:colOff>
                <xdr:row>7</xdr:row>
                <xdr:rowOff>285750</xdr:rowOff>
              </to>
            </anchor>
          </objectPr>
        </oleObject>
      </mc:Choice>
      <mc:Fallback>
        <oleObject progId="Equation.2" shapeId="19457" r:id="rId4"/>
      </mc:Fallback>
    </mc:AlternateContent>
    <mc:AlternateContent xmlns:mc="http://schemas.openxmlformats.org/markup-compatibility/2006">
      <mc:Choice Requires="x14">
        <oleObject progId="Equation.2" shapeId="19459" r:id="rId6">
          <objectPr defaultSize="0" autoLine="0" r:id="rId7">
            <anchor moveWithCells="1">
              <from>
                <xdr:col>2</xdr:col>
                <xdr:colOff>285750</xdr:colOff>
                <xdr:row>9</xdr:row>
                <xdr:rowOff>57150</xdr:rowOff>
              </from>
              <to>
                <xdr:col>2</xdr:col>
                <xdr:colOff>438150</xdr:colOff>
                <xdr:row>9</xdr:row>
                <xdr:rowOff>285750</xdr:rowOff>
              </to>
            </anchor>
          </objectPr>
        </oleObject>
      </mc:Choice>
      <mc:Fallback>
        <oleObject progId="Equation.2" shapeId="19459" r:id="rId6"/>
      </mc:Fallback>
    </mc:AlternateContent>
    <mc:AlternateContent xmlns:mc="http://schemas.openxmlformats.org/markup-compatibility/2006">
      <mc:Choice Requires="x14">
        <oleObject progId="Equation.3" shapeId="19460" r:id="rId8">
          <objectPr defaultSize="0" autoLine="0" r:id="rId9">
            <anchor moveWithCells="1">
              <from>
                <xdr:col>1</xdr:col>
                <xdr:colOff>323850</xdr:colOff>
                <xdr:row>7</xdr:row>
                <xdr:rowOff>88900</xdr:rowOff>
              </from>
              <to>
                <xdr:col>1</xdr:col>
                <xdr:colOff>450850</xdr:colOff>
                <xdr:row>7</xdr:row>
                <xdr:rowOff>241300</xdr:rowOff>
              </to>
            </anchor>
          </objectPr>
        </oleObject>
      </mc:Choice>
      <mc:Fallback>
        <oleObject progId="Equation.3" shapeId="19460" r:id="rId8"/>
      </mc:Fallback>
    </mc:AlternateContent>
    <mc:AlternateContent xmlns:mc="http://schemas.openxmlformats.org/markup-compatibility/2006">
      <mc:Choice Requires="x14">
        <oleObject progId="Equation.3" shapeId="19461" r:id="rId10">
          <objectPr defaultSize="0" autoLine="0" r:id="rId11">
            <anchor moveWithCells="1">
              <from>
                <xdr:col>7</xdr:col>
                <xdr:colOff>304800</xdr:colOff>
                <xdr:row>7</xdr:row>
                <xdr:rowOff>95250</xdr:rowOff>
              </from>
              <to>
                <xdr:col>7</xdr:col>
                <xdr:colOff>450850</xdr:colOff>
                <xdr:row>7</xdr:row>
                <xdr:rowOff>260350</xdr:rowOff>
              </to>
            </anchor>
          </objectPr>
        </oleObject>
      </mc:Choice>
      <mc:Fallback>
        <oleObject progId="Equation.3" shapeId="19461" r:id="rId10"/>
      </mc:Fallback>
    </mc:AlternateContent>
    <mc:AlternateContent xmlns:mc="http://schemas.openxmlformats.org/markup-compatibility/2006">
      <mc:Choice Requires="x14">
        <oleObject progId="Equation.3" shapeId="19462" r:id="rId12">
          <objectPr defaultSize="0" autoLine="0" r:id="rId13">
            <anchor moveWithCells="1">
              <from>
                <xdr:col>4</xdr:col>
                <xdr:colOff>323850</xdr:colOff>
                <xdr:row>9</xdr:row>
                <xdr:rowOff>95250</xdr:rowOff>
              </from>
              <to>
                <xdr:col>4</xdr:col>
                <xdr:colOff>450850</xdr:colOff>
                <xdr:row>9</xdr:row>
                <xdr:rowOff>260350</xdr:rowOff>
              </to>
            </anchor>
          </objectPr>
        </oleObject>
      </mc:Choice>
      <mc:Fallback>
        <oleObject progId="Equation.3" shapeId="19462" r:id="rId12"/>
      </mc:Fallback>
    </mc:AlternateContent>
    <mc:AlternateContent xmlns:mc="http://schemas.openxmlformats.org/markup-compatibility/2006">
      <mc:Choice Requires="x14">
        <oleObject progId="Equation.3" shapeId="19467" r:id="rId14">
          <objectPr defaultSize="0" r:id="rId15">
            <anchor moveWithCells="1">
              <from>
                <xdr:col>1</xdr:col>
                <xdr:colOff>184150</xdr:colOff>
                <xdr:row>9</xdr:row>
                <xdr:rowOff>50800</xdr:rowOff>
              </from>
              <to>
                <xdr:col>1</xdr:col>
                <xdr:colOff>552450</xdr:colOff>
                <xdr:row>9</xdr:row>
                <xdr:rowOff>279400</xdr:rowOff>
              </to>
            </anchor>
          </objectPr>
        </oleObject>
      </mc:Choice>
      <mc:Fallback>
        <oleObject progId="Equation.3" shapeId="19467" r:id="rId1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65" r:id="rId16" name="Drop Down 9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Q77"/>
  <sheetViews>
    <sheetView showGridLines="0" workbookViewId="0">
      <pane ySplit="2" topLeftCell="A3" activePane="bottomLeft" state="frozen"/>
      <selection activeCell="L15" sqref="L15"/>
      <selection pane="bottomLeft" activeCell="J1" sqref="J1"/>
    </sheetView>
  </sheetViews>
  <sheetFormatPr defaultColWidth="10.7265625" defaultRowHeight="24.4" customHeight="1" x14ac:dyDescent="0.35"/>
  <cols>
    <col min="1" max="16" width="10.7265625" style="2"/>
    <col min="17" max="17" width="10.7265625" style="2" hidden="1" customWidth="1"/>
    <col min="18" max="16384" width="10.7265625" style="2"/>
  </cols>
  <sheetData>
    <row r="1" spans="1:17" ht="24.4" customHeight="1" x14ac:dyDescent="0.35">
      <c r="A1" s="1" t="s">
        <v>12</v>
      </c>
      <c r="B1" s="1"/>
      <c r="C1" s="1"/>
      <c r="D1" s="1"/>
      <c r="H1" s="57"/>
      <c r="I1" s="57"/>
      <c r="J1" s="57"/>
    </row>
    <row r="2" spans="1:17" ht="24.4" customHeight="1" x14ac:dyDescent="0.35">
      <c r="B2" s="281" t="s">
        <v>79</v>
      </c>
      <c r="C2" s="262"/>
      <c r="D2" s="262"/>
      <c r="E2" s="262"/>
      <c r="F2" s="263"/>
      <c r="G2" s="264"/>
      <c r="H2" s="263"/>
      <c r="I2" s="265"/>
      <c r="J2" s="266"/>
      <c r="K2" s="267"/>
      <c r="L2" s="268"/>
      <c r="M2" s="267"/>
      <c r="N2" s="84"/>
      <c r="O2" s="84"/>
      <c r="P2" s="3"/>
    </row>
    <row r="3" spans="1:17" s="6" customFormat="1" ht="24.4" customHeight="1" thickBot="1" x14ac:dyDescent="0.4">
      <c r="A3" s="6" t="s">
        <v>115</v>
      </c>
      <c r="D3" s="7"/>
      <c r="E3" s="8"/>
      <c r="F3" s="9"/>
      <c r="L3" s="10"/>
      <c r="M3" s="11"/>
      <c r="N3" s="12"/>
    </row>
    <row r="4" spans="1:17" ht="24.4" customHeight="1" thickBot="1" x14ac:dyDescent="0.4">
      <c r="A4" s="13" t="s">
        <v>25</v>
      </c>
      <c r="B4" s="14" t="s">
        <v>22</v>
      </c>
      <c r="C4" s="15" t="s">
        <v>26</v>
      </c>
      <c r="D4" s="16" t="s">
        <v>27</v>
      </c>
      <c r="E4" s="17" t="s">
        <v>28</v>
      </c>
      <c r="G4" s="275" t="s">
        <v>116</v>
      </c>
      <c r="H4" s="275"/>
      <c r="J4" s="124"/>
      <c r="L4" s="3"/>
      <c r="M4" s="21"/>
      <c r="N4" s="21"/>
    </row>
    <row r="5" spans="1:17" ht="18" customHeight="1" x14ac:dyDescent="0.35">
      <c r="A5" s="22">
        <f ca="1">H6</f>
        <v>79</v>
      </c>
      <c r="B5" s="23">
        <f t="array" aca="1" ref="B5:B24" ca="1">FREQUENCY(INDIRECT(pomocny!J6),Q5:Q24)</f>
        <v>3</v>
      </c>
      <c r="C5" s="24">
        <f t="shared" ref="C5:C24" ca="1" si="0">B5/$B$25</f>
        <v>0.06</v>
      </c>
      <c r="D5" s="25">
        <f ca="1">B5</f>
        <v>3</v>
      </c>
      <c r="E5" s="26">
        <f ca="1">C5</f>
        <v>0.06</v>
      </c>
      <c r="G5" s="18" t="s">
        <v>0</v>
      </c>
      <c r="H5" s="19">
        <f ca="1">COUNT(INDIRECT(pomocny!J6))</f>
        <v>50</v>
      </c>
      <c r="I5" s="18" t="s">
        <v>2</v>
      </c>
      <c r="J5" s="20" t="s">
        <v>117</v>
      </c>
      <c r="L5" s="3"/>
      <c r="M5" s="4"/>
      <c r="N5" s="28"/>
      <c r="Q5" s="2">
        <f ca="1">ROUND(A5:A24,10)</f>
        <v>79</v>
      </c>
    </row>
    <row r="6" spans="1:17" ht="18" customHeight="1" x14ac:dyDescent="0.35">
      <c r="A6" s="22">
        <f t="shared" ref="A6:A24" ca="1" si="1">A5+$J$6</f>
        <v>80</v>
      </c>
      <c r="B6" s="23">
        <f ca="1"/>
        <v>5</v>
      </c>
      <c r="C6" s="24">
        <f t="shared" ca="1" si="0"/>
        <v>0.1</v>
      </c>
      <c r="D6" s="25">
        <f ca="1">D5+B6</f>
        <v>8</v>
      </c>
      <c r="E6" s="26">
        <f ca="1">E5+C6</f>
        <v>0.16</v>
      </c>
      <c r="G6" s="18" t="s">
        <v>3</v>
      </c>
      <c r="H6" s="19">
        <f ca="1">MIN(INDIRECT(pomocny!J6))</f>
        <v>79</v>
      </c>
      <c r="I6" s="19">
        <f ca="1">H7-H6</f>
        <v>6</v>
      </c>
      <c r="J6" s="27">
        <v>1</v>
      </c>
      <c r="L6" s="3"/>
      <c r="M6" s="4"/>
      <c r="N6" s="30"/>
      <c r="Q6" s="2">
        <f t="shared" ref="Q6:Q22" ca="1" si="2">ROUND(A6:A25,10)</f>
        <v>80</v>
      </c>
    </row>
    <row r="7" spans="1:17" ht="18" customHeight="1" x14ac:dyDescent="0.35">
      <c r="A7" s="22">
        <f t="shared" ca="1" si="1"/>
        <v>81</v>
      </c>
      <c r="B7" s="23">
        <f ca="1"/>
        <v>11</v>
      </c>
      <c r="C7" s="24">
        <f t="shared" ca="1" si="0"/>
        <v>0.22</v>
      </c>
      <c r="D7" s="25">
        <f t="shared" ref="D7:D24" ca="1" si="3">D6+B7</f>
        <v>19</v>
      </c>
      <c r="E7" s="26">
        <f t="shared" ref="E7:E24" ca="1" si="4">E6+C7</f>
        <v>0.38</v>
      </c>
      <c r="G7" s="18" t="s">
        <v>4</v>
      </c>
      <c r="H7" s="19">
        <f ca="1">MAX(INDIRECT(pomocny!J6))</f>
        <v>85</v>
      </c>
      <c r="I7" s="29"/>
      <c r="K7" s="32"/>
      <c r="L7" s="33"/>
      <c r="M7" s="34"/>
      <c r="N7" s="35"/>
      <c r="Q7" s="2">
        <f t="shared" ca="1" si="2"/>
        <v>81</v>
      </c>
    </row>
    <row r="8" spans="1:17" ht="18" customHeight="1" x14ac:dyDescent="0.35">
      <c r="A8" s="22">
        <f t="shared" ca="1" si="1"/>
        <v>82</v>
      </c>
      <c r="B8" s="23">
        <f ca="1"/>
        <v>16</v>
      </c>
      <c r="C8" s="24">
        <f t="shared" ca="1" si="0"/>
        <v>0.32</v>
      </c>
      <c r="D8" s="25">
        <f t="shared" ca="1" si="3"/>
        <v>35</v>
      </c>
      <c r="E8" s="26">
        <f t="shared" ca="1" si="4"/>
        <v>0.7</v>
      </c>
      <c r="H8" s="31"/>
      <c r="I8" s="36"/>
      <c r="J8" s="36"/>
      <c r="K8" s="37"/>
      <c r="L8" s="33"/>
      <c r="M8" s="4"/>
      <c r="N8" s="4"/>
      <c r="Q8" s="2">
        <f t="shared" ca="1" si="2"/>
        <v>82</v>
      </c>
    </row>
    <row r="9" spans="1:17" ht="18" customHeight="1" x14ac:dyDescent="0.35">
      <c r="A9" s="22">
        <f t="shared" ca="1" si="1"/>
        <v>83</v>
      </c>
      <c r="B9" s="23">
        <f ca="1"/>
        <v>8</v>
      </c>
      <c r="C9" s="24">
        <f t="shared" ca="1" si="0"/>
        <v>0.16</v>
      </c>
      <c r="D9" s="25">
        <f t="shared" ca="1" si="3"/>
        <v>43</v>
      </c>
      <c r="E9" s="26">
        <f t="shared" ca="1" si="4"/>
        <v>0.86</v>
      </c>
      <c r="H9" s="31"/>
      <c r="I9" s="36"/>
      <c r="J9" s="36"/>
      <c r="K9" s="37"/>
      <c r="L9" s="36"/>
      <c r="M9" s="36"/>
      <c r="N9" s="4"/>
      <c r="Q9" s="2">
        <f t="shared" ca="1" si="2"/>
        <v>83</v>
      </c>
    </row>
    <row r="10" spans="1:17" ht="18" customHeight="1" x14ac:dyDescent="0.35">
      <c r="A10" s="22">
        <f t="shared" ca="1" si="1"/>
        <v>84</v>
      </c>
      <c r="B10" s="23">
        <f ca="1"/>
        <v>4</v>
      </c>
      <c r="C10" s="24">
        <f t="shared" ca="1" si="0"/>
        <v>0.08</v>
      </c>
      <c r="D10" s="25">
        <f t="shared" ca="1" si="3"/>
        <v>47</v>
      </c>
      <c r="E10" s="26">
        <f t="shared" ca="1" si="4"/>
        <v>0.94</v>
      </c>
      <c r="K10" s="32"/>
      <c r="L10" s="33"/>
      <c r="M10" s="4"/>
      <c r="N10" s="3"/>
      <c r="Q10" s="2">
        <f t="shared" ca="1" si="2"/>
        <v>84</v>
      </c>
    </row>
    <row r="11" spans="1:17" ht="15.5" x14ac:dyDescent="0.35">
      <c r="A11" s="22">
        <f t="shared" ca="1" si="1"/>
        <v>85</v>
      </c>
      <c r="B11" s="23">
        <f ca="1"/>
        <v>3</v>
      </c>
      <c r="C11" s="24">
        <f t="shared" ca="1" si="0"/>
        <v>0.06</v>
      </c>
      <c r="D11" s="25">
        <f t="shared" ca="1" si="3"/>
        <v>50</v>
      </c>
      <c r="E11" s="26">
        <f t="shared" ca="1" si="4"/>
        <v>1</v>
      </c>
      <c r="K11" s="33"/>
      <c r="L11" s="33"/>
      <c r="M11" s="3"/>
      <c r="N11" s="3"/>
      <c r="Q11" s="2">
        <f t="shared" ca="1" si="2"/>
        <v>85</v>
      </c>
    </row>
    <row r="12" spans="1:17" ht="15.5" x14ac:dyDescent="0.35">
      <c r="A12" s="22">
        <f t="shared" ca="1" si="1"/>
        <v>86</v>
      </c>
      <c r="B12" s="23">
        <f ca="1"/>
        <v>0</v>
      </c>
      <c r="C12" s="24">
        <f t="shared" ca="1" si="0"/>
        <v>0</v>
      </c>
      <c r="D12" s="25">
        <f t="shared" ca="1" si="3"/>
        <v>50</v>
      </c>
      <c r="E12" s="26">
        <f t="shared" ca="1" si="4"/>
        <v>1</v>
      </c>
      <c r="K12" s="32"/>
      <c r="M12" s="3"/>
      <c r="N12" s="36"/>
      <c r="Q12" s="2">
        <f t="shared" ca="1" si="2"/>
        <v>86</v>
      </c>
    </row>
    <row r="13" spans="1:17" ht="15.5" x14ac:dyDescent="0.35">
      <c r="A13" s="22">
        <f t="shared" ca="1" si="1"/>
        <v>87</v>
      </c>
      <c r="B13" s="23">
        <f ca="1"/>
        <v>0</v>
      </c>
      <c r="C13" s="24">
        <f t="shared" ca="1" si="0"/>
        <v>0</v>
      </c>
      <c r="D13" s="25">
        <f t="shared" ca="1" si="3"/>
        <v>50</v>
      </c>
      <c r="E13" s="26">
        <f t="shared" ca="1" si="4"/>
        <v>1</v>
      </c>
      <c r="K13" s="36"/>
      <c r="M13" s="3"/>
      <c r="N13" s="33"/>
      <c r="Q13" s="2">
        <f t="shared" ca="1" si="2"/>
        <v>87</v>
      </c>
    </row>
    <row r="14" spans="1:17" ht="15.5" x14ac:dyDescent="0.35">
      <c r="A14" s="22">
        <f t="shared" ca="1" si="1"/>
        <v>88</v>
      </c>
      <c r="B14" s="23">
        <f ca="1"/>
        <v>0</v>
      </c>
      <c r="C14" s="24">
        <f t="shared" ca="1" si="0"/>
        <v>0</v>
      </c>
      <c r="D14" s="25">
        <f t="shared" ca="1" si="3"/>
        <v>50</v>
      </c>
      <c r="E14" s="26">
        <f t="shared" ca="1" si="4"/>
        <v>1</v>
      </c>
      <c r="J14" s="4"/>
      <c r="K14" s="33"/>
      <c r="M14" s="3"/>
      <c r="N14" s="3"/>
      <c r="Q14" s="2">
        <f t="shared" ca="1" si="2"/>
        <v>88</v>
      </c>
    </row>
    <row r="15" spans="1:17" ht="15.5" x14ac:dyDescent="0.35">
      <c r="A15" s="22">
        <f t="shared" ca="1" si="1"/>
        <v>89</v>
      </c>
      <c r="B15" s="23">
        <f ca="1"/>
        <v>0</v>
      </c>
      <c r="C15" s="24">
        <f t="shared" ca="1" si="0"/>
        <v>0</v>
      </c>
      <c r="D15" s="25">
        <f t="shared" ca="1" si="3"/>
        <v>50</v>
      </c>
      <c r="E15" s="26">
        <f t="shared" ca="1" si="4"/>
        <v>1</v>
      </c>
      <c r="H15" s="31"/>
      <c r="I15" s="4"/>
      <c r="J15" s="38"/>
      <c r="K15" s="38"/>
      <c r="L15" s="33"/>
      <c r="M15" s="29"/>
      <c r="N15" s="3"/>
      <c r="Q15" s="2">
        <f t="shared" ca="1" si="2"/>
        <v>89</v>
      </c>
    </row>
    <row r="16" spans="1:17" ht="15.5" x14ac:dyDescent="0.35">
      <c r="A16" s="22">
        <f t="shared" ca="1" si="1"/>
        <v>90</v>
      </c>
      <c r="B16" s="23">
        <f ca="1"/>
        <v>0</v>
      </c>
      <c r="C16" s="24">
        <f t="shared" ca="1" si="0"/>
        <v>0</v>
      </c>
      <c r="D16" s="25">
        <f t="shared" ca="1" si="3"/>
        <v>50</v>
      </c>
      <c r="E16" s="26">
        <f t="shared" ca="1" si="4"/>
        <v>1</v>
      </c>
      <c r="H16" s="31"/>
      <c r="I16" s="31"/>
      <c r="J16" s="31"/>
      <c r="K16" s="39"/>
      <c r="L16" s="31"/>
      <c r="M16" s="31"/>
      <c r="N16" s="31"/>
      <c r="Q16" s="2">
        <f t="shared" ca="1" si="2"/>
        <v>90</v>
      </c>
    </row>
    <row r="17" spans="1:17" ht="15.5" x14ac:dyDescent="0.35">
      <c r="A17" s="22">
        <f t="shared" ca="1" si="1"/>
        <v>91</v>
      </c>
      <c r="B17" s="23">
        <f ca="1"/>
        <v>0</v>
      </c>
      <c r="C17" s="24">
        <f t="shared" ca="1" si="0"/>
        <v>0</v>
      </c>
      <c r="D17" s="25">
        <f t="shared" ca="1" si="3"/>
        <v>50</v>
      </c>
      <c r="E17" s="26">
        <f t="shared" ca="1" si="4"/>
        <v>1</v>
      </c>
      <c r="H17" s="31"/>
      <c r="I17" s="31"/>
      <c r="J17" s="31"/>
      <c r="K17" s="39"/>
      <c r="L17" s="31"/>
      <c r="M17" s="31"/>
      <c r="N17" s="31"/>
      <c r="Q17" s="2">
        <f t="shared" ca="1" si="2"/>
        <v>91</v>
      </c>
    </row>
    <row r="18" spans="1:17" ht="15.5" x14ac:dyDescent="0.35">
      <c r="A18" s="22">
        <f t="shared" ca="1" si="1"/>
        <v>92</v>
      </c>
      <c r="B18" s="23">
        <f ca="1"/>
        <v>0</v>
      </c>
      <c r="C18" s="24">
        <f t="shared" ca="1" si="0"/>
        <v>0</v>
      </c>
      <c r="D18" s="25">
        <f t="shared" ca="1" si="3"/>
        <v>50</v>
      </c>
      <c r="E18" s="26">
        <f t="shared" ca="1" si="4"/>
        <v>1</v>
      </c>
      <c r="H18" s="31"/>
      <c r="I18" s="31"/>
      <c r="J18" s="31"/>
      <c r="K18" s="39"/>
      <c r="L18" s="31"/>
      <c r="M18" s="31"/>
      <c r="N18" s="31"/>
      <c r="Q18" s="2">
        <f t="shared" ca="1" si="2"/>
        <v>92</v>
      </c>
    </row>
    <row r="19" spans="1:17" ht="15.5" x14ac:dyDescent="0.35">
      <c r="A19" s="22">
        <f t="shared" ca="1" si="1"/>
        <v>93</v>
      </c>
      <c r="B19" s="23">
        <f ca="1"/>
        <v>0</v>
      </c>
      <c r="C19" s="24">
        <f t="shared" ca="1" si="0"/>
        <v>0</v>
      </c>
      <c r="D19" s="25">
        <f t="shared" ca="1" si="3"/>
        <v>50</v>
      </c>
      <c r="E19" s="26">
        <f t="shared" ca="1" si="4"/>
        <v>1</v>
      </c>
      <c r="H19" s="31"/>
      <c r="I19" s="31"/>
      <c r="J19" s="31"/>
      <c r="K19" s="39"/>
      <c r="L19" s="31"/>
      <c r="M19" s="31"/>
      <c r="N19" s="31"/>
      <c r="Q19" s="2">
        <f t="shared" ca="1" si="2"/>
        <v>93</v>
      </c>
    </row>
    <row r="20" spans="1:17" ht="15.5" x14ac:dyDescent="0.35">
      <c r="A20" s="22">
        <f t="shared" ca="1" si="1"/>
        <v>94</v>
      </c>
      <c r="B20" s="23">
        <f ca="1"/>
        <v>0</v>
      </c>
      <c r="C20" s="24">
        <f t="shared" ca="1" si="0"/>
        <v>0</v>
      </c>
      <c r="D20" s="25">
        <f t="shared" ca="1" si="3"/>
        <v>50</v>
      </c>
      <c r="E20" s="26">
        <f t="shared" ca="1" si="4"/>
        <v>1</v>
      </c>
      <c r="H20" s="31"/>
      <c r="I20" s="31"/>
      <c r="J20" s="31"/>
      <c r="K20" s="39"/>
      <c r="L20" s="31"/>
      <c r="M20" s="31"/>
      <c r="N20" s="31"/>
      <c r="Q20" s="2">
        <f t="shared" ca="1" si="2"/>
        <v>94</v>
      </c>
    </row>
    <row r="21" spans="1:17" ht="15.5" x14ac:dyDescent="0.35">
      <c r="A21" s="22">
        <f t="shared" ca="1" si="1"/>
        <v>95</v>
      </c>
      <c r="B21" s="23">
        <f ca="1"/>
        <v>0</v>
      </c>
      <c r="C21" s="24">
        <f t="shared" ca="1" si="0"/>
        <v>0</v>
      </c>
      <c r="D21" s="25">
        <f t="shared" ca="1" si="3"/>
        <v>50</v>
      </c>
      <c r="E21" s="26">
        <f t="shared" ca="1" si="4"/>
        <v>1</v>
      </c>
      <c r="H21" s="31"/>
      <c r="I21" s="31"/>
      <c r="J21" s="31"/>
      <c r="K21" s="39"/>
      <c r="L21" s="31"/>
      <c r="M21" s="31"/>
      <c r="N21" s="31"/>
      <c r="Q21" s="2">
        <f t="shared" ca="1" si="2"/>
        <v>95</v>
      </c>
    </row>
    <row r="22" spans="1:17" ht="15.5" x14ac:dyDescent="0.35">
      <c r="A22" s="22">
        <f t="shared" ca="1" si="1"/>
        <v>96</v>
      </c>
      <c r="B22" s="23">
        <f ca="1"/>
        <v>0</v>
      </c>
      <c r="C22" s="24">
        <f t="shared" ca="1" si="0"/>
        <v>0</v>
      </c>
      <c r="D22" s="25">
        <f t="shared" ca="1" si="3"/>
        <v>50</v>
      </c>
      <c r="E22" s="26">
        <f t="shared" ca="1" si="4"/>
        <v>1</v>
      </c>
      <c r="G22" s="225" t="s">
        <v>342</v>
      </c>
      <c r="H22" s="31"/>
      <c r="I22" s="31"/>
      <c r="J22" s="31"/>
      <c r="K22" s="39"/>
      <c r="L22" s="31"/>
      <c r="M22" s="31"/>
      <c r="Q22" s="2">
        <f t="shared" ca="1" si="2"/>
        <v>96</v>
      </c>
    </row>
    <row r="23" spans="1:17" ht="15.5" x14ac:dyDescent="0.35">
      <c r="A23" s="22">
        <f t="shared" ca="1" si="1"/>
        <v>97</v>
      </c>
      <c r="B23" s="23">
        <f ca="1"/>
        <v>0</v>
      </c>
      <c r="C23" s="24">
        <f t="shared" ca="1" si="0"/>
        <v>0</v>
      </c>
      <c r="D23" s="25">
        <f t="shared" ca="1" si="3"/>
        <v>50</v>
      </c>
      <c r="E23" s="26">
        <f t="shared" ca="1" si="4"/>
        <v>1</v>
      </c>
      <c r="G23" s="225" t="s">
        <v>340</v>
      </c>
      <c r="H23" s="116"/>
      <c r="I23" s="116"/>
      <c r="J23" s="116"/>
      <c r="K23" s="116"/>
      <c r="L23" s="116"/>
      <c r="M23" s="31"/>
      <c r="Q23" s="2">
        <f ca="1">ROUND(A23:A41,10)</f>
        <v>97</v>
      </c>
    </row>
    <row r="24" spans="1:17" ht="16" thickBot="1" x14ac:dyDescent="0.4">
      <c r="A24" s="22">
        <f t="shared" ca="1" si="1"/>
        <v>98</v>
      </c>
      <c r="B24" s="23">
        <f ca="1"/>
        <v>0</v>
      </c>
      <c r="C24" s="24">
        <f t="shared" ca="1" si="0"/>
        <v>0</v>
      </c>
      <c r="D24" s="25">
        <f t="shared" ca="1" si="3"/>
        <v>50</v>
      </c>
      <c r="E24" s="26">
        <f t="shared" ca="1" si="4"/>
        <v>1</v>
      </c>
      <c r="G24" s="225" t="s">
        <v>113</v>
      </c>
      <c r="H24" s="116"/>
      <c r="I24" s="116"/>
      <c r="J24" s="116"/>
      <c r="K24" s="39"/>
      <c r="L24" s="31"/>
      <c r="M24" s="31"/>
      <c r="Q24" s="2">
        <f ca="1">ROUND(A24:A41,10)</f>
        <v>98</v>
      </c>
    </row>
    <row r="25" spans="1:17" ht="16" thickBot="1" x14ac:dyDescent="0.4">
      <c r="A25" s="300" t="s">
        <v>182</v>
      </c>
      <c r="B25" s="40">
        <f ca="1">SUM(B5:B24)</f>
        <v>50</v>
      </c>
      <c r="C25" s="41">
        <f ca="1">SUM(C5:C24)</f>
        <v>1</v>
      </c>
      <c r="D25" s="16" t="s">
        <v>1</v>
      </c>
      <c r="E25" s="17" t="s">
        <v>1</v>
      </c>
      <c r="G25" s="299" t="str">
        <f ca="1">IF(B25=H5,"","POZOR! Nesprávná celková četnost!")</f>
        <v/>
      </c>
      <c r="H25" s="42"/>
      <c r="I25" s="39"/>
      <c r="J25" s="39"/>
      <c r="K25" s="39"/>
      <c r="L25" s="39"/>
      <c r="M25" s="39"/>
    </row>
    <row r="26" spans="1:17" ht="24.4" customHeight="1" thickBot="1" x14ac:dyDescent="0.4">
      <c r="A26" s="10" t="s">
        <v>110</v>
      </c>
      <c r="C26" s="45"/>
      <c r="L26" s="46"/>
      <c r="M26" s="46"/>
    </row>
    <row r="27" spans="1:17" ht="24.4" customHeight="1" x14ac:dyDescent="0.35">
      <c r="A27" s="104" t="s">
        <v>29</v>
      </c>
      <c r="B27" s="105"/>
      <c r="C27" s="106" t="s">
        <v>166</v>
      </c>
      <c r="D27" s="106" t="s">
        <v>72</v>
      </c>
      <c r="E27" s="105"/>
      <c r="F27" s="59" t="s">
        <v>32</v>
      </c>
      <c r="G27" s="59" t="s">
        <v>30</v>
      </c>
      <c r="H27" s="105"/>
      <c r="I27" s="59" t="s">
        <v>31</v>
      </c>
      <c r="J27" s="59" t="s">
        <v>33</v>
      </c>
      <c r="K27" s="59" t="s">
        <v>48</v>
      </c>
      <c r="L27" s="60" t="s">
        <v>34</v>
      </c>
      <c r="M27" s="55"/>
      <c r="N27" s="47"/>
    </row>
    <row r="28" spans="1:17" s="44" customFormat="1" ht="24.4" customHeight="1" x14ac:dyDescent="0.25">
      <c r="A28" s="135">
        <f ca="1">SUM(INDIRECT(pomocny!J6))</f>
        <v>4095</v>
      </c>
      <c r="B28" s="132">
        <f ca="1">AVERAGE(INDIRECT(pomocny!J6))</f>
        <v>81.900000000000006</v>
      </c>
      <c r="C28" s="132">
        <f ca="1">VAR(INDIRECT(pomocny!J6))</f>
        <v>2.2142857142857162</v>
      </c>
      <c r="D28" s="132">
        <f ca="1">STDEV(INDIRECT(pomocny!J6))</f>
        <v>1.4880476182856905</v>
      </c>
      <c r="E28" s="132">
        <f ca="1">AVEDEV(INDIRECT(pomocny!J6))</f>
        <v>1.1239999999999986</v>
      </c>
      <c r="F28" s="133">
        <f ca="1">PERCENTILE(INDIRECT(pomocny!J6),0.1)</f>
        <v>80</v>
      </c>
      <c r="G28" s="132">
        <f ca="1">PERCENTILE(INDIRECT(pomocny!J6),0.25)</f>
        <v>81</v>
      </c>
      <c r="H28" s="132">
        <f ca="1">PERCENTILE(INDIRECT(pomocny!J6),0.5)</f>
        <v>82</v>
      </c>
      <c r="I28" s="132">
        <f ca="1">PERCENTILE(INDIRECT(pomocny!J6),0.75)</f>
        <v>83</v>
      </c>
      <c r="J28" s="132">
        <f ca="1">PERCENTILE(INDIRECT(pomocny!J6),0.9)</f>
        <v>84</v>
      </c>
      <c r="K28" s="132">
        <f ca="1">SKEW(INDIRECT(pomocny!J6))</f>
        <v>0.13935929827856428</v>
      </c>
      <c r="L28" s="136">
        <f ca="1">(H5-2)/SQRT(H5*(H5-1))*K28</f>
        <v>0.13514318377257811</v>
      </c>
      <c r="M28" s="52"/>
      <c r="N28" s="53"/>
    </row>
    <row r="29" spans="1:17" s="54" customFormat="1" ht="24.4" customHeight="1" x14ac:dyDescent="0.35">
      <c r="A29" s="137" t="s">
        <v>35</v>
      </c>
      <c r="B29" s="134"/>
      <c r="C29" s="131"/>
      <c r="D29" s="298" t="s">
        <v>36</v>
      </c>
      <c r="E29" s="130"/>
      <c r="F29" s="134" t="s">
        <v>11</v>
      </c>
      <c r="G29" s="134" t="s">
        <v>37</v>
      </c>
      <c r="H29" s="134" t="s">
        <v>38</v>
      </c>
      <c r="I29" s="134" t="s">
        <v>39</v>
      </c>
      <c r="J29" s="134" t="s">
        <v>40</v>
      </c>
      <c r="K29" s="131" t="s">
        <v>49</v>
      </c>
      <c r="L29" s="297" t="s">
        <v>41</v>
      </c>
      <c r="M29" s="46"/>
      <c r="N29" s="46"/>
    </row>
    <row r="30" spans="1:17" s="54" customFormat="1" ht="24.4" customHeight="1" thickBot="1" x14ac:dyDescent="0.3">
      <c r="A30" s="48">
        <f ca="1">SUMSQ(INDIRECT(pomocny!J6))</f>
        <v>335489</v>
      </c>
      <c r="B30" s="49">
        <f ca="1">D28/SQRT(H5)</f>
        <v>0.2104417123236606</v>
      </c>
      <c r="C30" s="49">
        <f ca="1">VARP(INDIRECT(pomocny!J6))</f>
        <v>2.1700000000000017</v>
      </c>
      <c r="D30" s="49">
        <f ca="1">STDEVP(INDIRECT(pomocny!J6))</f>
        <v>1.4730919862656242</v>
      </c>
      <c r="E30" s="49">
        <f ca="1">IF(ISERROR(pomocny!J8),"---",pomocny!J8)</f>
        <v>82</v>
      </c>
      <c r="F30" s="50">
        <f ca="1">D30/B28</f>
        <v>1.7986471138774409E-2</v>
      </c>
      <c r="G30" s="49">
        <f ca="1">I28-G28</f>
        <v>2</v>
      </c>
      <c r="H30" s="49">
        <f ca="1">G30/2</f>
        <v>1</v>
      </c>
      <c r="I30" s="49">
        <f ca="1">J28-F28</f>
        <v>4</v>
      </c>
      <c r="J30" s="49">
        <f ca="1">I30/8</f>
        <v>0.5</v>
      </c>
      <c r="K30" s="49">
        <f ca="1">KURT(INDIRECT(pomocny!J6))</f>
        <v>-0.12943077910864931</v>
      </c>
      <c r="L30" s="51">
        <f ca="1">((H5-2)*(H5-3)*K30)/((H5-1)*(H5+1))-6/(H5+1)</f>
        <v>-0.23449213192041329</v>
      </c>
      <c r="M30" s="53"/>
      <c r="N30" s="53"/>
    </row>
    <row r="31" spans="1:17" s="54" customFormat="1" ht="24.4" customHeight="1" x14ac:dyDescent="0.25">
      <c r="A31" s="42"/>
      <c r="B31" s="55"/>
      <c r="C31" s="55"/>
      <c r="D31" s="55"/>
      <c r="E31" s="55"/>
      <c r="F31" s="56"/>
      <c r="G31" s="55"/>
      <c r="H31" s="55"/>
      <c r="I31" s="55"/>
      <c r="J31" s="55"/>
      <c r="K31" s="55"/>
      <c r="L31" s="55"/>
      <c r="M31" s="53"/>
      <c r="N31" s="53"/>
    </row>
    <row r="32" spans="1:17" s="54" customFormat="1" ht="24.4" customHeight="1" x14ac:dyDescent="0.25">
      <c r="A32" s="42"/>
      <c r="B32" s="55"/>
      <c r="C32" s="55"/>
      <c r="D32" s="55"/>
      <c r="E32" s="55"/>
      <c r="F32" s="56"/>
      <c r="G32" s="55"/>
      <c r="H32" s="55"/>
      <c r="I32" s="55"/>
      <c r="J32" s="55"/>
      <c r="K32" s="55"/>
      <c r="L32" s="55"/>
      <c r="M32" s="53"/>
      <c r="N32" s="53"/>
    </row>
    <row r="33" spans="1:14" s="54" customFormat="1" ht="24.4" customHeight="1" x14ac:dyDescent="0.25">
      <c r="A33" s="42"/>
      <c r="B33" s="55"/>
      <c r="C33" s="55"/>
      <c r="D33" s="55"/>
      <c r="E33" s="55"/>
      <c r="F33" s="56"/>
      <c r="G33" s="55"/>
      <c r="H33" s="55"/>
      <c r="I33" s="55"/>
      <c r="J33" s="55"/>
      <c r="K33" s="55"/>
      <c r="L33" s="55"/>
      <c r="M33" s="53"/>
      <c r="N33" s="53"/>
    </row>
    <row r="34" spans="1:14" s="54" customFormat="1" ht="24.4" customHeight="1" x14ac:dyDescent="0.25">
      <c r="A34" s="42"/>
      <c r="B34" s="55"/>
      <c r="C34" s="55"/>
      <c r="D34" s="55"/>
      <c r="E34" s="55"/>
      <c r="F34" s="56"/>
      <c r="G34" s="55"/>
      <c r="H34" s="55"/>
      <c r="I34" s="55"/>
      <c r="J34" s="55"/>
      <c r="K34" s="55"/>
      <c r="L34" s="55"/>
      <c r="M34" s="53"/>
      <c r="N34" s="53"/>
    </row>
    <row r="35" spans="1:14" s="54" customFormat="1" ht="24.4" customHeight="1" x14ac:dyDescent="0.25">
      <c r="A35" s="42"/>
      <c r="B35" s="55"/>
      <c r="C35" s="55"/>
      <c r="D35" s="55"/>
      <c r="E35" s="55"/>
      <c r="F35" s="56"/>
      <c r="G35" s="55"/>
      <c r="H35" s="55"/>
      <c r="I35" s="55"/>
      <c r="J35" s="55"/>
      <c r="K35" s="55"/>
      <c r="L35" s="55"/>
      <c r="M35" s="53"/>
      <c r="N35" s="53"/>
    </row>
    <row r="36" spans="1:14" s="54" customFormat="1" ht="24.4" customHeight="1" x14ac:dyDescent="0.25">
      <c r="A36" s="42"/>
      <c r="B36" s="55"/>
      <c r="C36" s="55"/>
      <c r="D36" s="55"/>
      <c r="E36" s="55"/>
      <c r="F36" s="56"/>
      <c r="G36" s="55"/>
      <c r="H36" s="55"/>
      <c r="I36" s="55"/>
      <c r="J36" s="55"/>
      <c r="K36" s="55"/>
      <c r="L36" s="55"/>
      <c r="M36" s="53"/>
      <c r="N36" s="53"/>
    </row>
    <row r="37" spans="1:14" s="54" customFormat="1" ht="24.4" customHeight="1" x14ac:dyDescent="0.25">
      <c r="A37" s="42"/>
      <c r="B37" s="55"/>
      <c r="C37" s="55"/>
      <c r="D37" s="55"/>
      <c r="E37" s="55"/>
      <c r="F37" s="56"/>
      <c r="G37" s="55"/>
      <c r="H37" s="55"/>
      <c r="I37" s="55"/>
      <c r="J37" s="55"/>
      <c r="K37" s="55"/>
      <c r="L37" s="55"/>
      <c r="M37" s="53"/>
      <c r="N37" s="53"/>
    </row>
    <row r="38" spans="1:14" s="54" customFormat="1" ht="24.4" customHeight="1" x14ac:dyDescent="0.25">
      <c r="A38" s="42"/>
      <c r="B38" s="55"/>
      <c r="C38" s="55"/>
      <c r="D38" s="55"/>
      <c r="E38" s="55"/>
      <c r="F38" s="56"/>
      <c r="G38" s="55"/>
      <c r="H38" s="55"/>
      <c r="I38" s="55"/>
      <c r="J38" s="55"/>
      <c r="K38" s="55"/>
      <c r="L38" s="55"/>
      <c r="M38" s="53"/>
      <c r="N38" s="53"/>
    </row>
    <row r="39" spans="1:14" s="54" customFormat="1" ht="24.4" customHeight="1" x14ac:dyDescent="0.25">
      <c r="A39" s="42"/>
      <c r="B39" s="55"/>
      <c r="C39" s="55"/>
      <c r="D39" s="55"/>
      <c r="E39" s="55"/>
      <c r="F39" s="56"/>
      <c r="G39" s="55"/>
      <c r="H39" s="55"/>
      <c r="I39" s="55"/>
      <c r="J39" s="55"/>
      <c r="K39" s="55"/>
      <c r="L39" s="55"/>
      <c r="M39" s="53"/>
      <c r="N39" s="53"/>
    </row>
    <row r="40" spans="1:14" s="54" customFormat="1" ht="24.4" customHeight="1" x14ac:dyDescent="0.25">
      <c r="A40" s="42"/>
      <c r="B40" s="55"/>
      <c r="C40" s="55"/>
      <c r="D40" s="55"/>
      <c r="E40" s="55"/>
      <c r="F40" s="56"/>
      <c r="G40" s="55"/>
      <c r="H40" s="55"/>
      <c r="I40" s="55"/>
      <c r="J40" s="55"/>
      <c r="K40" s="55"/>
      <c r="L40" s="55"/>
      <c r="M40" s="53"/>
      <c r="N40" s="53"/>
    </row>
    <row r="41" spans="1:14" s="54" customFormat="1" ht="24.4" customHeight="1" x14ac:dyDescent="0.25">
      <c r="A41" s="42"/>
      <c r="B41" s="55"/>
      <c r="C41" s="55"/>
      <c r="D41" s="55"/>
      <c r="E41" s="55"/>
      <c r="F41" s="56"/>
      <c r="G41" s="55"/>
      <c r="H41" s="55"/>
      <c r="I41" s="55"/>
      <c r="J41" s="55"/>
      <c r="K41" s="55"/>
      <c r="L41" s="55"/>
      <c r="M41" s="53"/>
      <c r="N41" s="53"/>
    </row>
    <row r="42" spans="1:14" s="44" customFormat="1" ht="24.4" customHeight="1" x14ac:dyDescent="0.35">
      <c r="A42" s="278" t="s">
        <v>167</v>
      </c>
      <c r="B42" s="278"/>
      <c r="C42" s="279" t="s">
        <v>178</v>
      </c>
      <c r="D42" s="277"/>
      <c r="E42" s="228">
        <v>0.05</v>
      </c>
      <c r="F42" s="58"/>
      <c r="G42" s="2"/>
      <c r="H42" s="2"/>
      <c r="I42" s="76"/>
      <c r="J42" s="77"/>
      <c r="K42" s="75"/>
    </row>
    <row r="43" spans="1:14" s="44" customFormat="1" ht="24.4" customHeight="1" thickBot="1" x14ac:dyDescent="0.4">
      <c r="A43" s="274" t="s">
        <v>181</v>
      </c>
      <c r="B43" s="274"/>
      <c r="C43" s="2"/>
      <c r="D43" s="2"/>
      <c r="E43" s="2"/>
      <c r="F43" s="58"/>
      <c r="G43" s="314"/>
      <c r="H43" s="2"/>
      <c r="I43" s="75"/>
      <c r="J43" s="77"/>
      <c r="K43" s="75"/>
    </row>
    <row r="44" spans="1:14" s="44" customFormat="1" ht="24.4" customHeight="1" x14ac:dyDescent="0.35">
      <c r="A44" s="107" t="s">
        <v>42</v>
      </c>
      <c r="B44" s="106" t="s">
        <v>111</v>
      </c>
      <c r="C44" s="59" t="s">
        <v>87</v>
      </c>
      <c r="D44" s="59" t="s">
        <v>121</v>
      </c>
      <c r="E44" s="60" t="s">
        <v>86</v>
      </c>
      <c r="F44" s="2"/>
      <c r="G44" s="2"/>
      <c r="H44" s="2"/>
    </row>
    <row r="45" spans="1:14" s="44" customFormat="1" ht="24.4" customHeight="1" thickBot="1" x14ac:dyDescent="0.3">
      <c r="A45" s="62">
        <f ca="1">L28</f>
        <v>0.13514318377257811</v>
      </c>
      <c r="B45" s="63">
        <f ca="1">6*(H5-2)/((H5+1)*(H5+3))</f>
        <v>0.10654827968923418</v>
      </c>
      <c r="C45" s="49">
        <f ca="1">A45/B45^0.5</f>
        <v>0.4140196224754194</v>
      </c>
      <c r="D45" s="205">
        <f>NORMINV(1-E42/2,0,1)</f>
        <v>1.9599639845400536</v>
      </c>
      <c r="E45" s="109">
        <f ca="1">2*MIN(NORMSDIST(C45),1-NORMSDIST(C45))</f>
        <v>0.67885973626548024</v>
      </c>
      <c r="F45" s="580" t="str">
        <f ca="1">IF(ABS(C45)&gt;=D45,"→ nulová šikmost se zamítá","→ nulová šikmost se nezamítá")</f>
        <v>→ nulová šikmost se nezamítá</v>
      </c>
      <c r="G45" s="572"/>
      <c r="H45" s="573"/>
    </row>
    <row r="46" spans="1:14" s="44" customFormat="1" ht="24.4" customHeight="1" thickBot="1" x14ac:dyDescent="0.4">
      <c r="A46" s="274" t="s">
        <v>180</v>
      </c>
      <c r="B46" s="274"/>
      <c r="C46" s="2"/>
      <c r="D46" s="2"/>
      <c r="E46" s="57"/>
      <c r="F46" s="2"/>
      <c r="G46" s="65"/>
      <c r="H46" s="2"/>
    </row>
    <row r="47" spans="1:14" ht="24.4" customHeight="1" x14ac:dyDescent="0.35">
      <c r="A47" s="108" t="s">
        <v>41</v>
      </c>
      <c r="B47" s="106" t="s">
        <v>112</v>
      </c>
      <c r="C47" s="59" t="s">
        <v>88</v>
      </c>
      <c r="D47" s="59" t="s">
        <v>121</v>
      </c>
      <c r="E47" s="60" t="s">
        <v>86</v>
      </c>
      <c r="H47" s="114"/>
    </row>
    <row r="48" spans="1:14" ht="24.4" customHeight="1" thickBot="1" x14ac:dyDescent="0.4">
      <c r="A48" s="62">
        <f ca="1">L30</f>
        <v>-0.23449213192041329</v>
      </c>
      <c r="B48" s="63">
        <f ca="1">24*H5*(H5-2)*(H5-3)/((H5+1)^2*(H5+3)*(H5+5))</f>
        <v>0.35706018861989353</v>
      </c>
      <c r="C48" s="49">
        <f ca="1">(A48+6/(H5+1))/B48^0.5</f>
        <v>-0.19554183644171852</v>
      </c>
      <c r="D48" s="205">
        <f>NORMINV(1-E42/2,0,1)</f>
        <v>1.9599639845400536</v>
      </c>
      <c r="E48" s="109">
        <f ca="1">2*MIN(NORMSDIST(C48),1-NORMSDIST(C48))</f>
        <v>0.84496878901461014</v>
      </c>
      <c r="F48" s="574" t="str">
        <f ca="1">IF(ABS(C48)&gt;=D48,"→ nulová špičatost se zamítá","→ nulová špičatost se nezamítá")</f>
        <v>→ nulová špičatost se nezamítá</v>
      </c>
      <c r="G48" s="575"/>
      <c r="H48" s="576"/>
    </row>
    <row r="49" spans="1:10" ht="24.4" customHeight="1" thickBot="1" x14ac:dyDescent="0.4">
      <c r="A49" s="274" t="s">
        <v>179</v>
      </c>
      <c r="B49" s="274"/>
      <c r="C49" s="274"/>
      <c r="D49" s="274"/>
      <c r="E49" s="274"/>
      <c r="F49" s="46"/>
      <c r="G49" s="46"/>
      <c r="H49" s="44"/>
    </row>
    <row r="50" spans="1:10" ht="24.4" customHeight="1" x14ac:dyDescent="0.35">
      <c r="A50" s="138" t="s">
        <v>87</v>
      </c>
      <c r="B50" s="139" t="s">
        <v>88</v>
      </c>
      <c r="C50" s="59" t="s">
        <v>89</v>
      </c>
      <c r="D50" s="142" t="s">
        <v>122</v>
      </c>
      <c r="E50" s="70" t="s">
        <v>86</v>
      </c>
      <c r="F50" s="68"/>
      <c r="G50" s="71"/>
      <c r="H50" s="42"/>
    </row>
    <row r="51" spans="1:10" ht="24.4" customHeight="1" thickBot="1" x14ac:dyDescent="0.4">
      <c r="A51" s="140">
        <f ca="1">C45</f>
        <v>0.4140196224754194</v>
      </c>
      <c r="B51" s="141">
        <f ca="1">C48</f>
        <v>-0.19554183644171852</v>
      </c>
      <c r="C51" s="49">
        <f ca="1">A51^2+B51^2</f>
        <v>0.20964885759368859</v>
      </c>
      <c r="D51" s="205">
        <f>CHIINV(E42,2)</f>
        <v>5.9914645471079817</v>
      </c>
      <c r="E51" s="51">
        <f ca="1">CHIDIST(C51,2)</f>
        <v>0.90048260752310183</v>
      </c>
      <c r="F51" s="577" t="str">
        <f ca="1">IF(C51&gt;=D51,"→ normální rozdělení se zamítá","→ normální rozdělení se nezamítá")</f>
        <v>→ normální rozdělení se nezamítá</v>
      </c>
      <c r="G51" s="578"/>
      <c r="H51" s="579"/>
    </row>
    <row r="52" spans="1:10" ht="24.4" customHeight="1" x14ac:dyDescent="0.35">
      <c r="F52" s="46"/>
      <c r="G52" s="46"/>
      <c r="H52" s="44"/>
    </row>
    <row r="53" spans="1:10" ht="24.4" customHeight="1" thickBot="1" x14ac:dyDescent="0.4">
      <c r="A53" s="279" t="s">
        <v>224</v>
      </c>
      <c r="B53" s="279"/>
      <c r="C53" s="279"/>
      <c r="D53" s="279"/>
      <c r="E53" s="279"/>
      <c r="F53" s="46"/>
      <c r="G53" s="46"/>
      <c r="H53" s="44"/>
      <c r="I53" s="73"/>
      <c r="J53" s="53"/>
    </row>
    <row r="54" spans="1:10" ht="24.4" customHeight="1" x14ac:dyDescent="0.35">
      <c r="A54" s="108" t="s">
        <v>58</v>
      </c>
      <c r="B54" s="106" t="s">
        <v>226</v>
      </c>
      <c r="C54" s="361" t="s">
        <v>60</v>
      </c>
      <c r="D54" s="139" t="s">
        <v>9</v>
      </c>
      <c r="E54" s="59" t="s">
        <v>220</v>
      </c>
      <c r="F54" s="59" t="s">
        <v>121</v>
      </c>
      <c r="G54" s="60" t="s">
        <v>86</v>
      </c>
    </row>
    <row r="55" spans="1:10" ht="24.4" customHeight="1" thickBot="1" x14ac:dyDescent="0.4">
      <c r="A55" s="62">
        <f ca="1">3*(H5^2+27*H5-70)*(H5+1)*(H5+3)/((H5-2)*(H5+5)*(H5+7)*(H5+9))</f>
        <v>3.4524572216365259</v>
      </c>
      <c r="B55" s="63">
        <f ca="1">(2*(A55-1))^0.5-1</f>
        <v>1.2147041435083494</v>
      </c>
      <c r="C55" s="63">
        <f ca="1">1/(LN(B55^0.5))^0.5</f>
        <v>3.2066723557736521</v>
      </c>
      <c r="D55" s="63">
        <f ca="1">(2/(B55-1))^0.5</f>
        <v>3.0520720722109234</v>
      </c>
      <c r="E55" s="49">
        <f ca="1">A61</f>
        <v>0.43366830509524534</v>
      </c>
      <c r="F55" s="205">
        <f>NORMINV(1-E42/2,0,1)</f>
        <v>1.9599639845400536</v>
      </c>
      <c r="G55" s="109">
        <f ca="1">2*MIN(NORMSDIST(E55),1-NORMSDIST(E55))</f>
        <v>0.66452932570367063</v>
      </c>
      <c r="H55" s="357" t="str">
        <f ca="1">IF(ABS(E55)&gt;=F55,"→ nulová šikmost se zamítá","→ nulová šikmost se nezamítá")</f>
        <v>→ nulová šikmost se nezamítá</v>
      </c>
      <c r="I55" s="357"/>
      <c r="J55" s="358"/>
    </row>
    <row r="56" spans="1:10" ht="24.4" customHeight="1" thickBot="1" x14ac:dyDescent="0.4">
      <c r="A56" s="274" t="s">
        <v>225</v>
      </c>
      <c r="B56" s="279"/>
      <c r="C56" s="279"/>
      <c r="D56" s="279"/>
      <c r="E56" s="279"/>
      <c r="F56" s="46"/>
      <c r="G56" s="46"/>
      <c r="H56" s="44"/>
      <c r="I56" s="73"/>
      <c r="J56" s="53"/>
    </row>
    <row r="57" spans="1:10" ht="24.4" customHeight="1" x14ac:dyDescent="0.35">
      <c r="A57" s="108" t="s">
        <v>223</v>
      </c>
      <c r="B57" s="106" t="s">
        <v>20</v>
      </c>
      <c r="C57" s="360" t="s">
        <v>221</v>
      </c>
      <c r="D57" s="59" t="s">
        <v>121</v>
      </c>
      <c r="E57" s="60" t="s">
        <v>86</v>
      </c>
      <c r="H57" s="114"/>
      <c r="I57" s="73"/>
      <c r="J57" s="53"/>
    </row>
    <row r="58" spans="1:10" ht="24.4" customHeight="1" thickBot="1" x14ac:dyDescent="0.4">
      <c r="A58" s="62">
        <f ca="1">6*(H5^2-5*H5+2)/((H5+7)*(H5+9))*SQRT(6*(H5+3)*(H5+5)/(H5*(H5-2)*(H5-3)))</f>
        <v>1.5820970624508315</v>
      </c>
      <c r="B58" s="63">
        <f ca="1">6+8/A58*(2/A58+SQRT(1+4/A58^2))</f>
        <v>20.542701002083042</v>
      </c>
      <c r="C58" s="49">
        <f ca="1">B61</f>
        <v>-1.9431920983534181E-3</v>
      </c>
      <c r="D58" s="205">
        <f>NORMINV(1-E42/2,0,1)</f>
        <v>1.9599639845400536</v>
      </c>
      <c r="E58" s="109">
        <f ca="1">2*MIN(NORMSDIST(C58),1-NORMSDIST(C58))</f>
        <v>0.99844955800179347</v>
      </c>
      <c r="F58" s="574" t="str">
        <f ca="1">IF(ABS(C58)&gt;=D58,"→ nulová špičatost se zamítá","→ nulová špičatost se nezamítá")</f>
        <v>→ nulová špičatost se nezamítá</v>
      </c>
      <c r="G58" s="575"/>
      <c r="H58" s="576"/>
      <c r="I58" s="73"/>
      <c r="J58" s="53"/>
    </row>
    <row r="59" spans="1:10" ht="24.4" customHeight="1" thickBot="1" x14ac:dyDescent="0.4">
      <c r="A59" s="274" t="s">
        <v>219</v>
      </c>
      <c r="B59" s="274"/>
      <c r="C59" s="274"/>
      <c r="D59" s="274"/>
      <c r="E59" s="274"/>
      <c r="F59" s="46"/>
      <c r="G59" s="46"/>
      <c r="H59" s="44"/>
    </row>
    <row r="60" spans="1:10" ht="24.4" customHeight="1" x14ac:dyDescent="0.35">
      <c r="A60" s="138" t="s">
        <v>220</v>
      </c>
      <c r="B60" s="359" t="s">
        <v>221</v>
      </c>
      <c r="C60" s="59" t="s">
        <v>222</v>
      </c>
      <c r="D60" s="142" t="s">
        <v>122</v>
      </c>
      <c r="E60" s="70" t="s">
        <v>86</v>
      </c>
      <c r="F60" s="68"/>
      <c r="G60" s="71"/>
      <c r="H60" s="42"/>
    </row>
    <row r="61" spans="1:10" ht="24.4" customHeight="1" thickBot="1" x14ac:dyDescent="0.4">
      <c r="A61" s="62">
        <f ca="1">C55*LN(A51/D55+((A51/D55)^2+1)^0.5)</f>
        <v>0.43366830509524534</v>
      </c>
      <c r="B61" s="63">
        <f ca="1">(1-2/(9*B58)-((1-2/B58)/(1+B51*SQRT(2/(B58-4))))^(1/3))/SQRT(2/(9*B58))</f>
        <v>-1.9431920983534181E-3</v>
      </c>
      <c r="C61" s="49">
        <f ca="1">A61^2+B61^2</f>
        <v>0.18807197483971391</v>
      </c>
      <c r="D61" s="205">
        <f>CHIINV(E42,2)</f>
        <v>5.9914645471079817</v>
      </c>
      <c r="E61" s="51">
        <f ca="1">CHIDIST(C61,2)</f>
        <v>0.91025000410225765</v>
      </c>
      <c r="F61" s="577" t="str">
        <f ca="1">IF(C61&gt;=D61,"→ normální rozdělení se zamítá","→ normální rozdělení se nezamítá")</f>
        <v>→ normální rozdělení se nezamítá</v>
      </c>
      <c r="G61" s="578"/>
      <c r="H61" s="579"/>
    </row>
    <row r="62" spans="1:10" ht="24.4" customHeight="1" x14ac:dyDescent="0.35">
      <c r="A62" s="5"/>
      <c r="B62" s="44"/>
      <c r="C62" s="46"/>
      <c r="D62" s="46"/>
      <c r="E62" s="46"/>
      <c r="F62" s="46"/>
      <c r="G62" s="46"/>
      <c r="H62" s="44"/>
    </row>
    <row r="63" spans="1:10" ht="24.4" customHeight="1" x14ac:dyDescent="0.35">
      <c r="A63" s="66"/>
    </row>
    <row r="64" spans="1:10" ht="24.4" customHeight="1" x14ac:dyDescent="0.35">
      <c r="A64" s="66"/>
    </row>
    <row r="65" spans="1:1" ht="24.4" customHeight="1" x14ac:dyDescent="0.35">
      <c r="A65" s="66"/>
    </row>
    <row r="66" spans="1:1" ht="24.4" customHeight="1" x14ac:dyDescent="0.35">
      <c r="A66" s="66"/>
    </row>
    <row r="67" spans="1:1" ht="24.4" customHeight="1" x14ac:dyDescent="0.35">
      <c r="A67" s="66"/>
    </row>
    <row r="68" spans="1:1" ht="24.4" customHeight="1" x14ac:dyDescent="0.35">
      <c r="A68" s="66"/>
    </row>
    <row r="69" spans="1:1" ht="24.4" customHeight="1" x14ac:dyDescent="0.35">
      <c r="A69" s="66"/>
    </row>
    <row r="70" spans="1:1" ht="24.4" customHeight="1" x14ac:dyDescent="0.35">
      <c r="A70" s="66"/>
    </row>
    <row r="71" spans="1:1" ht="24.4" customHeight="1" x14ac:dyDescent="0.35">
      <c r="A71" s="66"/>
    </row>
    <row r="72" spans="1:1" ht="24.4" customHeight="1" x14ac:dyDescent="0.35">
      <c r="A72" s="66"/>
    </row>
    <row r="73" spans="1:1" ht="24.4" customHeight="1" x14ac:dyDescent="0.35">
      <c r="A73" s="66"/>
    </row>
    <row r="74" spans="1:1" ht="24.4" customHeight="1" x14ac:dyDescent="0.35">
      <c r="A74" s="66"/>
    </row>
    <row r="75" spans="1:1" ht="24.4" customHeight="1" x14ac:dyDescent="0.35">
      <c r="A75" s="66"/>
    </row>
    <row r="76" spans="1:1" ht="24.4" customHeight="1" x14ac:dyDescent="0.35">
      <c r="A76" s="66"/>
    </row>
    <row r="77" spans="1:1" ht="24.4" customHeight="1" x14ac:dyDescent="0.35">
      <c r="A77" s="66"/>
    </row>
  </sheetData>
  <sheetProtection password="DBEF" sheet="1" objects="1" scenarios="1" formatCells="0" formatRows="0"/>
  <mergeCells count="5">
    <mergeCell ref="F45:H45"/>
    <mergeCell ref="F48:H48"/>
    <mergeCell ref="F51:H51"/>
    <mergeCell ref="F61:H61"/>
    <mergeCell ref="F58:H58"/>
  </mergeCells>
  <phoneticPr fontId="7" type="noConversion"/>
  <printOptions horizontalCentered="1"/>
  <pageMargins left="0.98425196850393704" right="0.98425196850393704" top="0.85" bottom="0.78740157480314965" header="0.51181102362204722" footer="0.51181102362204722"/>
  <pageSetup paperSize="9" scale="85" orientation="landscape" horizontalDpi="180" verticalDpi="180" r:id="rId1"/>
  <headerFooter alignWithMargins="0">
    <oddHeader>&amp;C&amp;12Elementární zpracování dat - bodové rozdělení četností</oddHeader>
    <oddFooter>&amp;C&amp;8statvyp.xls</oddFooter>
  </headerFooter>
  <ignoredErrors>
    <ignoredError sqref="H30" formula="1"/>
  </ignoredErrors>
  <drawing r:id="rId2"/>
  <legacyDrawing r:id="rId3"/>
  <oleObjects>
    <mc:AlternateContent xmlns:mc="http://schemas.openxmlformats.org/markup-compatibility/2006">
      <mc:Choice Requires="x14">
        <oleObject progId="Equation.2" shapeId="10268" r:id="rId4">
          <objectPr defaultSize="0" autoLine="0" r:id="rId5">
            <anchor moveWithCells="1">
              <from>
                <xdr:col>4</xdr:col>
                <xdr:colOff>285750</xdr:colOff>
                <xdr:row>26</xdr:row>
                <xdr:rowOff>69850</xdr:rowOff>
              </from>
              <to>
                <xdr:col>4</xdr:col>
                <xdr:colOff>469900</xdr:colOff>
                <xdr:row>26</xdr:row>
                <xdr:rowOff>285750</xdr:rowOff>
              </to>
            </anchor>
          </objectPr>
        </oleObject>
      </mc:Choice>
      <mc:Fallback>
        <oleObject progId="Equation.2" shapeId="10268" r:id="rId4"/>
      </mc:Fallback>
    </mc:AlternateContent>
    <mc:AlternateContent xmlns:mc="http://schemas.openxmlformats.org/markup-compatibility/2006">
      <mc:Choice Requires="x14">
        <oleObject progId="Equation.3" shapeId="10270" r:id="rId6">
          <objectPr defaultSize="0" autoLine="0" r:id="rId7">
            <anchor moveWithCells="1">
              <from>
                <xdr:col>1</xdr:col>
                <xdr:colOff>323850</xdr:colOff>
                <xdr:row>26</xdr:row>
                <xdr:rowOff>76200</xdr:rowOff>
              </from>
              <to>
                <xdr:col>1</xdr:col>
                <xdr:colOff>450850</xdr:colOff>
                <xdr:row>26</xdr:row>
                <xdr:rowOff>228600</xdr:rowOff>
              </to>
            </anchor>
          </objectPr>
        </oleObject>
      </mc:Choice>
      <mc:Fallback>
        <oleObject progId="Equation.3" shapeId="10270" r:id="rId6"/>
      </mc:Fallback>
    </mc:AlternateContent>
    <mc:AlternateContent xmlns:mc="http://schemas.openxmlformats.org/markup-compatibility/2006">
      <mc:Choice Requires="x14">
        <oleObject progId="Equation.3" shapeId="10271" r:id="rId8">
          <objectPr defaultSize="0" autoLine="0" r:id="rId9">
            <anchor moveWithCells="1">
              <from>
                <xdr:col>7</xdr:col>
                <xdr:colOff>317500</xdr:colOff>
                <xdr:row>26</xdr:row>
                <xdr:rowOff>88900</xdr:rowOff>
              </from>
              <to>
                <xdr:col>7</xdr:col>
                <xdr:colOff>457200</xdr:colOff>
                <xdr:row>26</xdr:row>
                <xdr:rowOff>247650</xdr:rowOff>
              </to>
            </anchor>
          </objectPr>
        </oleObject>
      </mc:Choice>
      <mc:Fallback>
        <oleObject progId="Equation.3" shapeId="10271" r:id="rId8"/>
      </mc:Fallback>
    </mc:AlternateContent>
    <mc:AlternateContent xmlns:mc="http://schemas.openxmlformats.org/markup-compatibility/2006">
      <mc:Choice Requires="x14">
        <oleObject progId="Equation.2" shapeId="10272" r:id="rId10">
          <objectPr defaultSize="0" autoLine="0" r:id="rId11">
            <anchor moveWithCells="1">
              <from>
                <xdr:col>2</xdr:col>
                <xdr:colOff>285750</xdr:colOff>
                <xdr:row>28</xdr:row>
                <xdr:rowOff>50800</xdr:rowOff>
              </from>
              <to>
                <xdr:col>2</xdr:col>
                <xdr:colOff>438150</xdr:colOff>
                <xdr:row>28</xdr:row>
                <xdr:rowOff>279400</xdr:rowOff>
              </to>
            </anchor>
          </objectPr>
        </oleObject>
      </mc:Choice>
      <mc:Fallback>
        <oleObject progId="Equation.2" shapeId="10272" r:id="rId10"/>
      </mc:Fallback>
    </mc:AlternateContent>
    <mc:AlternateContent xmlns:mc="http://schemas.openxmlformats.org/markup-compatibility/2006">
      <mc:Choice Requires="x14">
        <oleObject progId="Equation.3" shapeId="10273" r:id="rId12">
          <objectPr defaultSize="0" autoLine="0" r:id="rId13">
            <anchor moveWithCells="1">
              <from>
                <xdr:col>4</xdr:col>
                <xdr:colOff>323850</xdr:colOff>
                <xdr:row>28</xdr:row>
                <xdr:rowOff>88900</xdr:rowOff>
              </from>
              <to>
                <xdr:col>4</xdr:col>
                <xdr:colOff>450850</xdr:colOff>
                <xdr:row>28</xdr:row>
                <xdr:rowOff>247650</xdr:rowOff>
              </to>
            </anchor>
          </objectPr>
        </oleObject>
      </mc:Choice>
      <mc:Fallback>
        <oleObject progId="Equation.3" shapeId="10273" r:id="rId12"/>
      </mc:Fallback>
    </mc:AlternateContent>
    <mc:AlternateContent xmlns:mc="http://schemas.openxmlformats.org/markup-compatibility/2006">
      <mc:Choice Requires="x14">
        <oleObject progId="Equation.3" shapeId="10274" r:id="rId14">
          <objectPr defaultSize="0" r:id="rId15">
            <anchor moveWithCells="1">
              <from>
                <xdr:col>1</xdr:col>
                <xdr:colOff>171450</xdr:colOff>
                <xdr:row>28</xdr:row>
                <xdr:rowOff>50800</xdr:rowOff>
              </from>
              <to>
                <xdr:col>1</xdr:col>
                <xdr:colOff>552450</xdr:colOff>
                <xdr:row>28</xdr:row>
                <xdr:rowOff>279400</xdr:rowOff>
              </to>
            </anchor>
          </objectPr>
        </oleObject>
      </mc:Choice>
      <mc:Fallback>
        <oleObject progId="Equation.3" shapeId="10274" r:id="rId1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2" r:id="rId16" name="Drop Down 22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Q74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265625" defaultRowHeight="24.4" customHeight="1" x14ac:dyDescent="0.25"/>
  <cols>
    <col min="1" max="16" width="10.7265625" style="44"/>
    <col min="17" max="17" width="0" style="44" hidden="1" customWidth="1"/>
    <col min="18" max="16384" width="10.7265625" style="44"/>
  </cols>
  <sheetData>
    <row r="1" spans="1:17" ht="24.4" customHeight="1" x14ac:dyDescent="0.25">
      <c r="A1" s="1" t="s">
        <v>10</v>
      </c>
      <c r="B1" s="1"/>
      <c r="C1" s="1"/>
      <c r="D1" s="1"/>
    </row>
    <row r="2" spans="1:17" ht="24.4" customHeight="1" x14ac:dyDescent="0.25">
      <c r="B2" s="281" t="s">
        <v>79</v>
      </c>
      <c r="C2" s="269"/>
      <c r="D2" s="269"/>
      <c r="E2" s="269"/>
      <c r="F2" s="270"/>
      <c r="G2" s="270"/>
      <c r="H2" s="270"/>
      <c r="I2" s="271"/>
      <c r="J2" s="272"/>
      <c r="K2" s="84"/>
      <c r="L2" s="273"/>
      <c r="O2" s="84"/>
      <c r="P2" s="3"/>
    </row>
    <row r="3" spans="1:17" s="5" customFormat="1" ht="24.4" customHeight="1" thickBot="1" x14ac:dyDescent="0.4">
      <c r="A3" s="6" t="s">
        <v>115</v>
      </c>
      <c r="D3" s="110"/>
      <c r="E3" s="111"/>
      <c r="F3" s="112"/>
      <c r="G3" s="113"/>
      <c r="L3" s="44"/>
    </row>
    <row r="4" spans="1:17" ht="24.4" customHeight="1" thickBot="1" x14ac:dyDescent="0.4">
      <c r="A4" s="125" t="s">
        <v>23</v>
      </c>
      <c r="B4" s="126" t="s">
        <v>24</v>
      </c>
      <c r="C4" s="127" t="s">
        <v>25</v>
      </c>
      <c r="D4" s="14" t="s">
        <v>22</v>
      </c>
      <c r="E4" s="15" t="s">
        <v>26</v>
      </c>
      <c r="F4" s="16" t="s">
        <v>27</v>
      </c>
      <c r="G4" s="17" t="s">
        <v>28</v>
      </c>
      <c r="H4" s="42"/>
      <c r="I4" s="275" t="s">
        <v>116</v>
      </c>
      <c r="J4" s="275"/>
      <c r="K4" s="275"/>
    </row>
    <row r="5" spans="1:17" ht="18" customHeight="1" x14ac:dyDescent="0.25">
      <c r="A5" s="22">
        <f>M11</f>
        <v>5.0999999999999996</v>
      </c>
      <c r="B5" s="25">
        <f t="shared" ref="B5:B24" si="0">A5+$M$10</f>
        <v>5.6</v>
      </c>
      <c r="C5" s="25">
        <f>(A5+B5)/2</f>
        <v>5.35</v>
      </c>
      <c r="D5" s="23">
        <f t="array" aca="1" ref="D5:D24" ca="1">FREQUENCY(INDIRECT(pomocny!M6),Q5:Q24)</f>
        <v>5</v>
      </c>
      <c r="E5" s="24">
        <f t="shared" ref="E5:E24" ca="1" si="1">D5/$D$25</f>
        <v>0.10204081632653061</v>
      </c>
      <c r="F5" s="25">
        <f ca="1">D5</f>
        <v>5</v>
      </c>
      <c r="G5" s="26">
        <f ca="1">E5</f>
        <v>0.10204081632653061</v>
      </c>
      <c r="H5" s="98"/>
      <c r="I5" s="18" t="s">
        <v>0</v>
      </c>
      <c r="J5" s="19">
        <f ca="1">COUNT(INDIRECT(pomocny!M6))</f>
        <v>49</v>
      </c>
      <c r="K5" s="18" t="s">
        <v>2</v>
      </c>
      <c r="Q5" s="44">
        <f>ROUND(B5,10)</f>
        <v>5.6</v>
      </c>
    </row>
    <row r="6" spans="1:17" ht="18" customHeight="1" x14ac:dyDescent="0.25">
      <c r="A6" s="22">
        <f>B5</f>
        <v>5.6</v>
      </c>
      <c r="B6" s="25">
        <f t="shared" si="0"/>
        <v>6.1</v>
      </c>
      <c r="C6" s="25">
        <f t="shared" ref="C6:C24" si="2">(A6+B6)/2</f>
        <v>5.85</v>
      </c>
      <c r="D6" s="23">
        <f ca="1"/>
        <v>15</v>
      </c>
      <c r="E6" s="24">
        <f t="shared" ca="1" si="1"/>
        <v>0.30612244897959184</v>
      </c>
      <c r="F6" s="25">
        <f t="shared" ref="F6:F24" ca="1" si="3">F5+D6</f>
        <v>20</v>
      </c>
      <c r="G6" s="26">
        <f t="shared" ref="G6:G24" ca="1" si="4">G5+E6</f>
        <v>0.40816326530612246</v>
      </c>
      <c r="H6" s="31"/>
      <c r="I6" s="18" t="s">
        <v>3</v>
      </c>
      <c r="J6" s="19">
        <f ca="1">MIN(INDIRECT(pomocny!M6))</f>
        <v>5.3</v>
      </c>
      <c r="K6" s="19">
        <f ca="1">J7-J6</f>
        <v>3.0000000000000009</v>
      </c>
      <c r="Q6" s="44">
        <f t="shared" ref="Q6:Q24" si="5">ROUND(B6,10)</f>
        <v>6.1</v>
      </c>
    </row>
    <row r="7" spans="1:17" ht="18" customHeight="1" x14ac:dyDescent="0.25">
      <c r="A7" s="22">
        <f t="shared" ref="A7:A24" si="6">B6</f>
        <v>6.1</v>
      </c>
      <c r="B7" s="25">
        <f t="shared" si="0"/>
        <v>6.6</v>
      </c>
      <c r="C7" s="25">
        <f t="shared" si="2"/>
        <v>6.35</v>
      </c>
      <c r="D7" s="23">
        <f ca="1"/>
        <v>14</v>
      </c>
      <c r="E7" s="24">
        <f t="shared" ca="1" si="1"/>
        <v>0.2857142857142857</v>
      </c>
      <c r="F7" s="25">
        <f t="shared" ca="1" si="3"/>
        <v>34</v>
      </c>
      <c r="G7" s="26">
        <f t="shared" ca="1" si="4"/>
        <v>0.69387755102040816</v>
      </c>
      <c r="H7" s="31"/>
      <c r="I7" s="18" t="s">
        <v>4</v>
      </c>
      <c r="J7" s="19">
        <f ca="1">MAX(INDIRECT(pomocny!M6))</f>
        <v>8.3000000000000007</v>
      </c>
      <c r="K7" s="29"/>
      <c r="Q7" s="44">
        <f t="shared" si="5"/>
        <v>6.6</v>
      </c>
    </row>
    <row r="8" spans="1:17" ht="18" customHeight="1" x14ac:dyDescent="0.25">
      <c r="A8" s="22">
        <f t="shared" si="6"/>
        <v>6.6</v>
      </c>
      <c r="B8" s="25">
        <f t="shared" si="0"/>
        <v>7.1</v>
      </c>
      <c r="C8" s="25">
        <f t="shared" si="2"/>
        <v>6.85</v>
      </c>
      <c r="D8" s="23">
        <f ca="1"/>
        <v>10</v>
      </c>
      <c r="E8" s="24">
        <f t="shared" ca="1" si="1"/>
        <v>0.20408163265306123</v>
      </c>
      <c r="F8" s="25">
        <f t="shared" ca="1" si="3"/>
        <v>44</v>
      </c>
      <c r="G8" s="26">
        <f t="shared" ca="1" si="4"/>
        <v>0.89795918367346939</v>
      </c>
      <c r="H8" s="31"/>
      <c r="I8" s="282" t="s">
        <v>118</v>
      </c>
      <c r="J8" s="282"/>
      <c r="K8" s="282"/>
      <c r="L8" s="282" t="s">
        <v>120</v>
      </c>
      <c r="M8" s="282"/>
      <c r="N8" s="3"/>
      <c r="Q8" s="44">
        <f t="shared" si="5"/>
        <v>7.1</v>
      </c>
    </row>
    <row r="9" spans="1:17" ht="18" customHeight="1" x14ac:dyDescent="0.25">
      <c r="A9" s="22">
        <f t="shared" si="6"/>
        <v>7.1</v>
      </c>
      <c r="B9" s="25">
        <f t="shared" si="0"/>
        <v>7.6</v>
      </c>
      <c r="C9" s="25">
        <f t="shared" si="2"/>
        <v>7.35</v>
      </c>
      <c r="D9" s="23">
        <f ca="1"/>
        <v>1</v>
      </c>
      <c r="E9" s="24">
        <f t="shared" ca="1" si="1"/>
        <v>2.0408163265306121E-2</v>
      </c>
      <c r="F9" s="25">
        <f t="shared" ca="1" si="3"/>
        <v>45</v>
      </c>
      <c r="G9" s="26">
        <f t="shared" ca="1" si="4"/>
        <v>0.91836734693877553</v>
      </c>
      <c r="H9" s="31"/>
      <c r="I9" s="581" t="s">
        <v>5</v>
      </c>
      <c r="J9" s="582"/>
      <c r="K9" s="101">
        <f ca="1">1+3.32*LOG10(J5)</f>
        <v>6.6114509856946651</v>
      </c>
      <c r="L9" s="18" t="s">
        <v>6</v>
      </c>
      <c r="M9" s="27">
        <v>7</v>
      </c>
      <c r="N9" s="3"/>
      <c r="Q9" s="44">
        <f t="shared" si="5"/>
        <v>7.6</v>
      </c>
    </row>
    <row r="10" spans="1:17" ht="17.25" customHeight="1" x14ac:dyDescent="0.25">
      <c r="A10" s="22">
        <f t="shared" si="6"/>
        <v>7.6</v>
      </c>
      <c r="B10" s="25">
        <f t="shared" si="0"/>
        <v>8.1</v>
      </c>
      <c r="C10" s="25">
        <f t="shared" si="2"/>
        <v>7.85</v>
      </c>
      <c r="D10" s="23">
        <f ca="1"/>
        <v>2</v>
      </c>
      <c r="E10" s="24">
        <f t="shared" ca="1" si="1"/>
        <v>4.0816326530612242E-2</v>
      </c>
      <c r="F10" s="25">
        <f t="shared" ca="1" si="3"/>
        <v>47</v>
      </c>
      <c r="G10" s="26">
        <f t="shared" ca="1" si="4"/>
        <v>0.95918367346938782</v>
      </c>
      <c r="H10" s="31"/>
      <c r="I10" s="293"/>
      <c r="J10" s="294" t="s">
        <v>8</v>
      </c>
      <c r="K10" s="292">
        <f ca="1">5*LOG10(J5)</f>
        <v>8.4509804001425675</v>
      </c>
      <c r="L10" s="18" t="s">
        <v>7</v>
      </c>
      <c r="M10" s="99">
        <v>0.5</v>
      </c>
      <c r="N10" s="3"/>
      <c r="Q10" s="44">
        <f t="shared" si="5"/>
        <v>8.1</v>
      </c>
    </row>
    <row r="11" spans="1:17" ht="15.5" x14ac:dyDescent="0.25">
      <c r="A11" s="22">
        <f t="shared" si="6"/>
        <v>8.1</v>
      </c>
      <c r="B11" s="25">
        <f t="shared" si="0"/>
        <v>8.6</v>
      </c>
      <c r="C11" s="25">
        <f t="shared" si="2"/>
        <v>8.35</v>
      </c>
      <c r="D11" s="23">
        <f ca="1"/>
        <v>2</v>
      </c>
      <c r="E11" s="24">
        <f t="shared" ca="1" si="1"/>
        <v>4.0816326530612242E-2</v>
      </c>
      <c r="F11" s="25">
        <f t="shared" ca="1" si="3"/>
        <v>49</v>
      </c>
      <c r="G11" s="26">
        <f t="shared" ca="1" si="4"/>
        <v>1</v>
      </c>
      <c r="H11" s="31"/>
      <c r="I11" s="21" t="s">
        <v>119</v>
      </c>
      <c r="J11" s="21"/>
      <c r="K11" s="283"/>
      <c r="L11" s="100" t="s">
        <v>9</v>
      </c>
      <c r="M11" s="99">
        <v>5.0999999999999996</v>
      </c>
      <c r="N11" s="3"/>
      <c r="Q11" s="44">
        <f t="shared" si="5"/>
        <v>8.6</v>
      </c>
    </row>
    <row r="12" spans="1:17" ht="15.5" x14ac:dyDescent="0.25">
      <c r="A12" s="22">
        <f t="shared" si="6"/>
        <v>8.6</v>
      </c>
      <c r="B12" s="25">
        <f t="shared" si="0"/>
        <v>9.1</v>
      </c>
      <c r="C12" s="25">
        <f t="shared" si="2"/>
        <v>8.85</v>
      </c>
      <c r="D12" s="23">
        <f ca="1"/>
        <v>0</v>
      </c>
      <c r="E12" s="24">
        <f t="shared" ca="1" si="1"/>
        <v>0</v>
      </c>
      <c r="F12" s="25">
        <f t="shared" ca="1" si="3"/>
        <v>49</v>
      </c>
      <c r="G12" s="26">
        <f t="shared" ca="1" si="4"/>
        <v>1</v>
      </c>
      <c r="H12" s="31"/>
      <c r="I12" s="18" t="s">
        <v>7</v>
      </c>
      <c r="J12" s="101">
        <f ca="1">K6/M9</f>
        <v>0.42857142857142871</v>
      </c>
      <c r="K12" s="3"/>
      <c r="N12" s="36"/>
      <c r="Q12" s="44">
        <f t="shared" si="5"/>
        <v>9.1</v>
      </c>
    </row>
    <row r="13" spans="1:17" ht="15.5" x14ac:dyDescent="0.3">
      <c r="A13" s="22">
        <f t="shared" si="6"/>
        <v>9.1</v>
      </c>
      <c r="B13" s="25">
        <f t="shared" si="0"/>
        <v>9.6</v>
      </c>
      <c r="C13" s="25">
        <f t="shared" si="2"/>
        <v>9.35</v>
      </c>
      <c r="D13" s="23">
        <f ca="1"/>
        <v>0</v>
      </c>
      <c r="E13" s="24">
        <f t="shared" ca="1" si="1"/>
        <v>0</v>
      </c>
      <c r="F13" s="25">
        <f t="shared" ca="1" si="3"/>
        <v>49</v>
      </c>
      <c r="G13" s="26">
        <f t="shared" ca="1" si="4"/>
        <v>1</v>
      </c>
      <c r="H13" s="31"/>
      <c r="I13" s="232" t="str">
        <f ca="1">IF(M11&gt;J6,"Dolní hranici 1. intervalu nelze použít!","")</f>
        <v/>
      </c>
      <c r="M13" s="3"/>
      <c r="Q13" s="44">
        <f t="shared" si="5"/>
        <v>9.6</v>
      </c>
    </row>
    <row r="14" spans="1:17" ht="15.5" x14ac:dyDescent="0.25">
      <c r="A14" s="22">
        <f t="shared" si="6"/>
        <v>9.6</v>
      </c>
      <c r="B14" s="25">
        <f t="shared" si="0"/>
        <v>10.1</v>
      </c>
      <c r="C14" s="25">
        <f t="shared" si="2"/>
        <v>9.85</v>
      </c>
      <c r="D14" s="23">
        <f ca="1"/>
        <v>0</v>
      </c>
      <c r="E14" s="24">
        <f t="shared" ca="1" si="1"/>
        <v>0</v>
      </c>
      <c r="F14" s="25">
        <f t="shared" ca="1" si="3"/>
        <v>49</v>
      </c>
      <c r="G14" s="26">
        <f t="shared" ca="1" si="4"/>
        <v>1</v>
      </c>
      <c r="H14" s="31"/>
      <c r="M14" s="3"/>
      <c r="Q14" s="44">
        <f t="shared" si="5"/>
        <v>10.1</v>
      </c>
    </row>
    <row r="15" spans="1:17" ht="15.5" x14ac:dyDescent="0.25">
      <c r="A15" s="22">
        <f t="shared" si="6"/>
        <v>10.1</v>
      </c>
      <c r="B15" s="25">
        <f t="shared" si="0"/>
        <v>10.6</v>
      </c>
      <c r="C15" s="25">
        <f t="shared" si="2"/>
        <v>10.35</v>
      </c>
      <c r="D15" s="23">
        <f ca="1"/>
        <v>0</v>
      </c>
      <c r="E15" s="24">
        <f t="shared" ca="1" si="1"/>
        <v>0</v>
      </c>
      <c r="F15" s="25">
        <f t="shared" ca="1" si="3"/>
        <v>49</v>
      </c>
      <c r="G15" s="26">
        <f t="shared" ca="1" si="4"/>
        <v>1</v>
      </c>
      <c r="H15" s="31"/>
      <c r="M15" s="29"/>
      <c r="Q15" s="44">
        <f t="shared" si="5"/>
        <v>10.6</v>
      </c>
    </row>
    <row r="16" spans="1:17" ht="15.5" x14ac:dyDescent="0.25">
      <c r="A16" s="22">
        <f t="shared" si="6"/>
        <v>10.6</v>
      </c>
      <c r="B16" s="25">
        <f t="shared" si="0"/>
        <v>11.1</v>
      </c>
      <c r="C16" s="25">
        <f t="shared" si="2"/>
        <v>10.85</v>
      </c>
      <c r="D16" s="23">
        <f ca="1"/>
        <v>0</v>
      </c>
      <c r="E16" s="24">
        <f t="shared" ca="1" si="1"/>
        <v>0</v>
      </c>
      <c r="F16" s="25">
        <f t="shared" ca="1" si="3"/>
        <v>49</v>
      </c>
      <c r="G16" s="26">
        <f t="shared" ca="1" si="4"/>
        <v>1</v>
      </c>
      <c r="H16" s="31"/>
      <c r="Q16" s="44">
        <f t="shared" si="5"/>
        <v>11.1</v>
      </c>
    </row>
    <row r="17" spans="1:17" ht="15.5" x14ac:dyDescent="0.25">
      <c r="A17" s="22">
        <f t="shared" si="6"/>
        <v>11.1</v>
      </c>
      <c r="B17" s="25">
        <f t="shared" si="0"/>
        <v>11.6</v>
      </c>
      <c r="C17" s="25">
        <f t="shared" si="2"/>
        <v>11.35</v>
      </c>
      <c r="D17" s="23">
        <f ca="1"/>
        <v>0</v>
      </c>
      <c r="E17" s="24">
        <f t="shared" ca="1" si="1"/>
        <v>0</v>
      </c>
      <c r="F17" s="25">
        <f t="shared" ca="1" si="3"/>
        <v>49</v>
      </c>
      <c r="G17" s="26">
        <f t="shared" ca="1" si="4"/>
        <v>1</v>
      </c>
      <c r="H17" s="31"/>
      <c r="N17" s="31"/>
      <c r="Q17" s="44">
        <f t="shared" si="5"/>
        <v>11.6</v>
      </c>
    </row>
    <row r="18" spans="1:17" ht="15.5" x14ac:dyDescent="0.25">
      <c r="A18" s="22">
        <f t="shared" si="6"/>
        <v>11.6</v>
      </c>
      <c r="B18" s="25">
        <f t="shared" si="0"/>
        <v>12.1</v>
      </c>
      <c r="C18" s="25">
        <f t="shared" si="2"/>
        <v>11.85</v>
      </c>
      <c r="D18" s="23">
        <f ca="1"/>
        <v>0</v>
      </c>
      <c r="E18" s="24">
        <f t="shared" ca="1" si="1"/>
        <v>0</v>
      </c>
      <c r="F18" s="25">
        <f t="shared" ca="1" si="3"/>
        <v>49</v>
      </c>
      <c r="G18" s="26">
        <f t="shared" ca="1" si="4"/>
        <v>1</v>
      </c>
      <c r="H18" s="31"/>
      <c r="I18" s="31"/>
      <c r="J18" s="31"/>
      <c r="K18" s="39"/>
      <c r="L18" s="31"/>
      <c r="M18" s="31"/>
      <c r="N18" s="31"/>
      <c r="Q18" s="44">
        <f t="shared" si="5"/>
        <v>12.1</v>
      </c>
    </row>
    <row r="19" spans="1:17" ht="15.5" x14ac:dyDescent="0.25">
      <c r="A19" s="22">
        <f t="shared" si="6"/>
        <v>12.1</v>
      </c>
      <c r="B19" s="25">
        <f t="shared" si="0"/>
        <v>12.6</v>
      </c>
      <c r="C19" s="25">
        <f t="shared" si="2"/>
        <v>12.35</v>
      </c>
      <c r="D19" s="23">
        <f ca="1"/>
        <v>0</v>
      </c>
      <c r="E19" s="24">
        <f t="shared" ca="1" si="1"/>
        <v>0</v>
      </c>
      <c r="F19" s="25">
        <f t="shared" ca="1" si="3"/>
        <v>49</v>
      </c>
      <c r="G19" s="26">
        <f t="shared" ca="1" si="4"/>
        <v>1</v>
      </c>
      <c r="H19" s="31"/>
      <c r="L19" s="31"/>
      <c r="M19" s="31"/>
      <c r="N19" s="31"/>
      <c r="Q19" s="44">
        <f t="shared" si="5"/>
        <v>12.6</v>
      </c>
    </row>
    <row r="20" spans="1:17" ht="15.5" x14ac:dyDescent="0.25">
      <c r="A20" s="22">
        <f t="shared" si="6"/>
        <v>12.6</v>
      </c>
      <c r="B20" s="25">
        <f t="shared" si="0"/>
        <v>13.1</v>
      </c>
      <c r="C20" s="25">
        <f t="shared" si="2"/>
        <v>12.85</v>
      </c>
      <c r="D20" s="23">
        <f ca="1"/>
        <v>0</v>
      </c>
      <c r="E20" s="24">
        <f t="shared" ca="1" si="1"/>
        <v>0</v>
      </c>
      <c r="F20" s="25">
        <f t="shared" ca="1" si="3"/>
        <v>49</v>
      </c>
      <c r="G20" s="26">
        <f t="shared" ca="1" si="4"/>
        <v>1</v>
      </c>
      <c r="H20" s="31"/>
      <c r="I20" s="31"/>
      <c r="J20" s="31"/>
      <c r="K20" s="39"/>
      <c r="L20" s="31"/>
      <c r="M20" s="31"/>
      <c r="N20" s="31"/>
      <c r="Q20" s="44">
        <f t="shared" si="5"/>
        <v>13.1</v>
      </c>
    </row>
    <row r="21" spans="1:17" ht="15.5" x14ac:dyDescent="0.25">
      <c r="A21" s="22">
        <f t="shared" si="6"/>
        <v>13.1</v>
      </c>
      <c r="B21" s="25">
        <f t="shared" si="0"/>
        <v>13.6</v>
      </c>
      <c r="C21" s="25">
        <f t="shared" si="2"/>
        <v>13.35</v>
      </c>
      <c r="D21" s="23">
        <f ca="1"/>
        <v>0</v>
      </c>
      <c r="E21" s="24">
        <f t="shared" ca="1" si="1"/>
        <v>0</v>
      </c>
      <c r="F21" s="25">
        <f t="shared" ca="1" si="3"/>
        <v>49</v>
      </c>
      <c r="G21" s="26">
        <f t="shared" ca="1" si="4"/>
        <v>1</v>
      </c>
      <c r="H21" s="31"/>
      <c r="I21" s="31"/>
      <c r="J21" s="31"/>
      <c r="K21" s="39"/>
      <c r="L21" s="31"/>
      <c r="M21" s="31"/>
      <c r="N21" s="31"/>
      <c r="Q21" s="44">
        <f t="shared" si="5"/>
        <v>13.6</v>
      </c>
    </row>
    <row r="22" spans="1:17" ht="15.5" x14ac:dyDescent="0.25">
      <c r="A22" s="22">
        <f t="shared" si="6"/>
        <v>13.6</v>
      </c>
      <c r="B22" s="25">
        <f t="shared" si="0"/>
        <v>14.1</v>
      </c>
      <c r="C22" s="25">
        <f t="shared" si="2"/>
        <v>13.85</v>
      </c>
      <c r="D22" s="23">
        <f ca="1"/>
        <v>0</v>
      </c>
      <c r="E22" s="24">
        <f t="shared" ca="1" si="1"/>
        <v>0</v>
      </c>
      <c r="F22" s="25">
        <f t="shared" ca="1" si="3"/>
        <v>49</v>
      </c>
      <c r="G22" s="26">
        <f t="shared" ca="1" si="4"/>
        <v>1</v>
      </c>
      <c r="I22" s="225" t="s">
        <v>342</v>
      </c>
      <c r="J22" s="116"/>
      <c r="K22" s="116"/>
      <c r="L22" s="116"/>
      <c r="M22" s="116"/>
      <c r="N22" s="31"/>
      <c r="Q22" s="44">
        <f t="shared" si="5"/>
        <v>14.1</v>
      </c>
    </row>
    <row r="23" spans="1:17" ht="15.5" x14ac:dyDescent="0.25">
      <c r="A23" s="22">
        <f t="shared" si="6"/>
        <v>14.1</v>
      </c>
      <c r="B23" s="25">
        <f t="shared" si="0"/>
        <v>14.6</v>
      </c>
      <c r="C23" s="25">
        <f t="shared" si="2"/>
        <v>14.35</v>
      </c>
      <c r="D23" s="23">
        <f ca="1"/>
        <v>0</v>
      </c>
      <c r="E23" s="24">
        <f t="shared" ca="1" si="1"/>
        <v>0</v>
      </c>
      <c r="F23" s="25">
        <f t="shared" ca="1" si="3"/>
        <v>49</v>
      </c>
      <c r="G23" s="26">
        <f t="shared" ca="1" si="4"/>
        <v>1</v>
      </c>
      <c r="I23" s="225" t="s">
        <v>341</v>
      </c>
      <c r="J23" s="116"/>
      <c r="K23" s="116"/>
      <c r="L23" s="116"/>
      <c r="M23" s="116"/>
      <c r="O23" s="116"/>
      <c r="Q23" s="44">
        <f t="shared" si="5"/>
        <v>14.6</v>
      </c>
    </row>
    <row r="24" spans="1:17" ht="16" thickBot="1" x14ac:dyDescent="0.3">
      <c r="A24" s="22">
        <f t="shared" si="6"/>
        <v>14.6</v>
      </c>
      <c r="B24" s="25">
        <f t="shared" si="0"/>
        <v>15.1</v>
      </c>
      <c r="C24" s="25">
        <f t="shared" si="2"/>
        <v>14.85</v>
      </c>
      <c r="D24" s="23">
        <f ca="1"/>
        <v>0</v>
      </c>
      <c r="E24" s="24">
        <f t="shared" ca="1" si="1"/>
        <v>0</v>
      </c>
      <c r="F24" s="25">
        <f t="shared" ca="1" si="3"/>
        <v>49</v>
      </c>
      <c r="G24" s="26">
        <f t="shared" ca="1" si="4"/>
        <v>1</v>
      </c>
      <c r="I24" s="225" t="s">
        <v>113</v>
      </c>
      <c r="J24" s="116"/>
      <c r="K24" s="116"/>
      <c r="L24" s="116"/>
      <c r="M24" s="31"/>
      <c r="Q24" s="44">
        <f t="shared" si="5"/>
        <v>15.1</v>
      </c>
    </row>
    <row r="25" spans="1:17" ht="16" thickBot="1" x14ac:dyDescent="0.3">
      <c r="A25" s="583" t="s">
        <v>1</v>
      </c>
      <c r="B25" s="584"/>
      <c r="C25" s="301" t="s">
        <v>182</v>
      </c>
      <c r="D25" s="40">
        <f ca="1">SUM(D5:D24)</f>
        <v>49</v>
      </c>
      <c r="E25" s="41">
        <f ca="1">SUM(E5:E24)</f>
        <v>1</v>
      </c>
      <c r="F25" s="16" t="s">
        <v>1</v>
      </c>
      <c r="G25" s="17" t="s">
        <v>1</v>
      </c>
      <c r="H25" s="42"/>
      <c r="I25" s="302" t="str">
        <f ca="1">IF(D25=J5,"","POZOR! Nesprávná celková četnost!")</f>
        <v/>
      </c>
      <c r="J25" s="39"/>
      <c r="K25" s="39"/>
      <c r="L25" s="39"/>
      <c r="M25" s="39"/>
      <c r="N25" s="43"/>
    </row>
    <row r="26" spans="1:17" ht="24.4" customHeight="1" thickBot="1" x14ac:dyDescent="0.4">
      <c r="A26" s="10" t="s">
        <v>110</v>
      </c>
      <c r="C26" s="54"/>
      <c r="L26" s="53"/>
      <c r="M26" s="53"/>
    </row>
    <row r="27" spans="1:17" ht="24.4" customHeight="1" x14ac:dyDescent="0.25">
      <c r="A27" s="104" t="s">
        <v>29</v>
      </c>
      <c r="B27" s="105"/>
      <c r="C27" s="106" t="s">
        <v>166</v>
      </c>
      <c r="D27" s="106" t="s">
        <v>72</v>
      </c>
      <c r="E27" s="105"/>
      <c r="F27" s="59" t="s">
        <v>32</v>
      </c>
      <c r="G27" s="59" t="s">
        <v>30</v>
      </c>
      <c r="H27" s="105"/>
      <c r="I27" s="59" t="s">
        <v>31</v>
      </c>
      <c r="J27" s="59" t="s">
        <v>33</v>
      </c>
      <c r="K27" s="59" t="s">
        <v>48</v>
      </c>
      <c r="L27" s="60" t="s">
        <v>34</v>
      </c>
      <c r="N27" s="52"/>
    </row>
    <row r="28" spans="1:17" ht="24.4" customHeight="1" x14ac:dyDescent="0.25">
      <c r="A28" s="135">
        <f ca="1">SUM(INDIRECT(pomocny!M6))</f>
        <v>314.80000000000007</v>
      </c>
      <c r="B28" s="132">
        <f ca="1">AVERAGE(INDIRECT(pomocny!M6))</f>
        <v>6.4244897959183689</v>
      </c>
      <c r="C28" s="132">
        <f ca="1">VAR(INDIRECT(pomocny!M6))</f>
        <v>0.52022108843536807</v>
      </c>
      <c r="D28" s="132">
        <f ca="1">STDEV(INDIRECT(pomocny!M6))</f>
        <v>0.72126353605001281</v>
      </c>
      <c r="E28" s="132">
        <f ca="1">AVEDEV(INDIRECT(pomocny!M6))</f>
        <v>0.56368179925031259</v>
      </c>
      <c r="F28" s="132">
        <f ca="1">PERCENTILE(INDIRECT(pomocny!M6),0.1)</f>
        <v>5.66</v>
      </c>
      <c r="G28" s="132">
        <f ca="1">PERCENTILE(INDIRECT(pomocny!M6),0.25)</f>
        <v>5.9</v>
      </c>
      <c r="H28" s="132">
        <f ca="1">PERCENTILE(INDIRECT(pomocny!M6),0.5)</f>
        <v>6.3</v>
      </c>
      <c r="I28" s="132">
        <f ca="1">PERCENTILE(INDIRECT(pomocny!M6),0.75)</f>
        <v>6.9</v>
      </c>
      <c r="J28" s="132">
        <f ca="1">PERCENTILE(INDIRECT(pomocny!M6),0.9)</f>
        <v>7.1800000000000006</v>
      </c>
      <c r="K28" s="132">
        <f ca="1">SKEW(INDIRECT(pomocny!M6))</f>
        <v>0.82804502392195445</v>
      </c>
      <c r="L28" s="136">
        <f ca="1">(J5-2)/SQRT(J5*(J5-1))*K28</f>
        <v>0.80247802931200407</v>
      </c>
      <c r="N28" s="53"/>
    </row>
    <row r="29" spans="1:17" s="54" customFormat="1" ht="24.4" customHeight="1" x14ac:dyDescent="0.25">
      <c r="A29" s="137" t="s">
        <v>35</v>
      </c>
      <c r="B29" s="134"/>
      <c r="C29" s="131"/>
      <c r="D29" s="298" t="s">
        <v>36</v>
      </c>
      <c r="E29" s="130"/>
      <c r="F29" s="134" t="s">
        <v>11</v>
      </c>
      <c r="G29" s="134" t="s">
        <v>37</v>
      </c>
      <c r="H29" s="134" t="s">
        <v>38</v>
      </c>
      <c r="I29" s="134" t="s">
        <v>39</v>
      </c>
      <c r="J29" s="134" t="s">
        <v>40</v>
      </c>
      <c r="K29" s="131" t="s">
        <v>49</v>
      </c>
      <c r="L29" s="297" t="s">
        <v>41</v>
      </c>
      <c r="N29" s="53"/>
    </row>
    <row r="30" spans="1:17" s="54" customFormat="1" ht="24.4" customHeight="1" thickBot="1" x14ac:dyDescent="0.3">
      <c r="A30" s="48">
        <f ca="1">SUMSQ(INDIRECT(pomocny!M6))</f>
        <v>2047.4000000000005</v>
      </c>
      <c r="B30" s="49">
        <f ca="1">D28/SQRT(J5)</f>
        <v>0.10303764800714468</v>
      </c>
      <c r="C30" s="49">
        <f ca="1">VARP(INDIRECT(pomocny!M6))</f>
        <v>0.5096043315285228</v>
      </c>
      <c r="D30" s="49">
        <f ca="1">STDEVP(INDIRECT(pomocny!M6))</f>
        <v>0.71386576576308991</v>
      </c>
      <c r="E30" s="102">
        <f ca="1">IF(ISERROR(pomocny!M12),"---",pomocny!M12)</f>
        <v>5.85</v>
      </c>
      <c r="F30" s="49">
        <f ca="1">D30/B28</f>
        <v>0.11111633583987102</v>
      </c>
      <c r="G30" s="49">
        <f ca="1">I28-G28</f>
        <v>1</v>
      </c>
      <c r="H30" s="49">
        <f ca="1">G30/2</f>
        <v>0.5</v>
      </c>
      <c r="I30" s="49">
        <f ca="1">J28-F28</f>
        <v>1.5200000000000005</v>
      </c>
      <c r="J30" s="49">
        <f ca="1">I30/8</f>
        <v>0.19000000000000006</v>
      </c>
      <c r="K30" s="49">
        <f ca="1">KURT(INDIRECT(pomocny!M6))</f>
        <v>0.58573994957062636</v>
      </c>
      <c r="L30" s="51">
        <f ca="1">((J5-2)*(J5-3)*K30)/((J5-1)*(J5+1))-6/(J5+1)</f>
        <v>0.40765407123820585</v>
      </c>
      <c r="N30" s="53"/>
    </row>
    <row r="31" spans="1:17" ht="24.4" customHeight="1" x14ac:dyDescent="0.25">
      <c r="A31" s="53"/>
      <c r="I31" s="114"/>
    </row>
    <row r="32" spans="1:17" ht="24.4" customHeight="1" x14ac:dyDescent="0.25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N32" s="115"/>
    </row>
    <row r="33" spans="1:14" ht="24.4" customHeight="1" x14ac:dyDescent="0.25">
      <c r="A33" s="53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103"/>
      <c r="N33" s="54"/>
    </row>
    <row r="34" spans="1:14" ht="24.4" customHeight="1" x14ac:dyDescent="0.25">
      <c r="A34" s="53"/>
      <c r="B34" s="52"/>
      <c r="C34" s="53"/>
      <c r="D34" s="53"/>
      <c r="E34" s="53"/>
      <c r="F34" s="53"/>
      <c r="G34" s="53"/>
      <c r="H34" s="52"/>
      <c r="I34" s="52"/>
      <c r="J34" s="52"/>
      <c r="K34" s="52"/>
      <c r="L34" s="52"/>
      <c r="M34" s="54"/>
      <c r="N34" s="54"/>
    </row>
    <row r="35" spans="1:14" ht="24.4" customHeight="1" x14ac:dyDescent="0.25">
      <c r="A35" s="53"/>
      <c r="B35" s="52"/>
      <c r="C35" s="53"/>
      <c r="D35" s="53"/>
      <c r="E35" s="53"/>
      <c r="F35" s="53"/>
      <c r="G35" s="53"/>
      <c r="H35" s="52"/>
      <c r="I35" s="52"/>
      <c r="J35" s="52"/>
      <c r="K35" s="52"/>
      <c r="L35" s="52"/>
      <c r="M35" s="54"/>
      <c r="N35" s="54"/>
    </row>
    <row r="36" spans="1:14" ht="24.4" customHeight="1" x14ac:dyDescent="0.25">
      <c r="A36" s="53"/>
      <c r="B36" s="52"/>
      <c r="C36" s="53"/>
      <c r="D36" s="53"/>
      <c r="E36" s="53"/>
      <c r="F36" s="53"/>
      <c r="G36" s="53"/>
      <c r="H36" s="52"/>
      <c r="I36" s="52"/>
      <c r="J36" s="52"/>
      <c r="K36" s="52"/>
      <c r="L36" s="52"/>
      <c r="M36" s="54"/>
      <c r="N36" s="54"/>
    </row>
    <row r="37" spans="1:14" ht="24.4" customHeight="1" x14ac:dyDescent="0.25">
      <c r="A37" s="53"/>
      <c r="B37" s="52"/>
      <c r="C37" s="53"/>
      <c r="D37" s="53"/>
      <c r="E37" s="53"/>
      <c r="F37" s="53"/>
      <c r="G37" s="53"/>
      <c r="H37" s="52"/>
      <c r="I37" s="53"/>
      <c r="J37" s="53"/>
      <c r="K37" s="53"/>
      <c r="L37" s="53"/>
      <c r="M37" s="53"/>
      <c r="N37" s="53"/>
    </row>
    <row r="38" spans="1:14" ht="24.4" customHeight="1" x14ac:dyDescent="0.25">
      <c r="A38" s="53"/>
      <c r="B38" s="52"/>
      <c r="C38" s="53"/>
      <c r="D38" s="53"/>
      <c r="E38" s="53"/>
      <c r="F38" s="53"/>
      <c r="G38" s="53"/>
      <c r="H38" s="52"/>
      <c r="I38" s="53"/>
      <c r="J38" s="53"/>
      <c r="K38" s="53"/>
      <c r="L38" s="53"/>
      <c r="M38" s="53"/>
      <c r="N38" s="53"/>
    </row>
    <row r="39" spans="1:14" ht="24.4" customHeight="1" x14ac:dyDescent="0.25">
      <c r="A39" s="53"/>
      <c r="B39" s="54"/>
      <c r="C39" s="53"/>
      <c r="D39" s="53"/>
      <c r="E39" s="53"/>
      <c r="F39" s="53"/>
      <c r="G39" s="53"/>
      <c r="H39" s="54"/>
      <c r="I39" s="53"/>
      <c r="J39" s="53"/>
      <c r="K39" s="53"/>
      <c r="L39" s="53"/>
      <c r="M39" s="53"/>
      <c r="N39" s="53"/>
    </row>
    <row r="40" spans="1:14" ht="24.4" customHeight="1" x14ac:dyDescent="0.25">
      <c r="A40" s="53"/>
      <c r="B40" s="54"/>
      <c r="C40" s="54"/>
      <c r="D40" s="52"/>
      <c r="E40" s="54"/>
      <c r="F40" s="55"/>
      <c r="G40" s="55"/>
      <c r="H40" s="55"/>
      <c r="I40" s="53"/>
      <c r="J40" s="53"/>
      <c r="K40" s="53"/>
      <c r="L40" s="53"/>
      <c r="M40" s="53"/>
      <c r="N40" s="53"/>
    </row>
    <row r="41" spans="1:14" ht="24.4" customHeight="1" x14ac:dyDescent="0.25">
      <c r="A41" s="53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</row>
    <row r="42" spans="1:14" ht="24.4" customHeight="1" x14ac:dyDescent="0.35">
      <c r="A42" s="278" t="s">
        <v>167</v>
      </c>
      <c r="B42" s="278"/>
      <c r="D42" s="295" t="s">
        <v>178</v>
      </c>
      <c r="E42" s="228">
        <v>0.05</v>
      </c>
      <c r="F42" s="58"/>
      <c r="G42" s="2"/>
      <c r="H42" s="2"/>
    </row>
    <row r="43" spans="1:14" ht="24.4" customHeight="1" thickBot="1" x14ac:dyDescent="0.4">
      <c r="A43" s="274" t="s">
        <v>181</v>
      </c>
      <c r="B43" s="274"/>
      <c r="C43" s="2"/>
      <c r="D43" s="2"/>
      <c r="E43" s="2"/>
      <c r="F43" s="58"/>
      <c r="G43" s="2"/>
      <c r="H43" s="314"/>
    </row>
    <row r="44" spans="1:14" ht="24.4" customHeight="1" x14ac:dyDescent="0.35">
      <c r="A44" s="107" t="s">
        <v>42</v>
      </c>
      <c r="B44" s="106" t="s">
        <v>111</v>
      </c>
      <c r="C44" s="59" t="s">
        <v>87</v>
      </c>
      <c r="D44" s="59" t="s">
        <v>121</v>
      </c>
      <c r="E44" s="60" t="s">
        <v>86</v>
      </c>
      <c r="F44" s="2"/>
      <c r="G44" s="2"/>
      <c r="H44" s="2"/>
    </row>
    <row r="45" spans="1:14" ht="24.4" customHeight="1" thickBot="1" x14ac:dyDescent="0.3">
      <c r="A45" s="62">
        <f ca="1">L28</f>
        <v>0.80247802931200407</v>
      </c>
      <c r="B45" s="63">
        <f ca="1">6*(J5-2)/((J5+1)*(J5+3))</f>
        <v>0.10846153846153846</v>
      </c>
      <c r="C45" s="49">
        <f ca="1">A45/B45^0.5</f>
        <v>2.436661889062592</v>
      </c>
      <c r="D45" s="205">
        <f>NORMINV(1-E42/2,0,1)</f>
        <v>1.9599639845400536</v>
      </c>
      <c r="E45" s="109">
        <f ca="1">2*MIN(NORMSDIST(C45),1-NORMSDIST(C45))</f>
        <v>1.4823532479292245E-2</v>
      </c>
      <c r="F45" s="580" t="str">
        <f ca="1">IF(ABS(C45)&gt;=D45,"→ nulová šikmost se zamítá","→ nulová šikmost se nezamítá")</f>
        <v>→ nulová šikmost se zamítá</v>
      </c>
      <c r="G45" s="572"/>
      <c r="H45" s="573"/>
    </row>
    <row r="46" spans="1:14" ht="24.4" customHeight="1" thickBot="1" x14ac:dyDescent="0.4">
      <c r="A46" s="274" t="s">
        <v>180</v>
      </c>
      <c r="B46" s="274"/>
      <c r="C46" s="2"/>
      <c r="D46" s="2"/>
      <c r="E46" s="57"/>
      <c r="F46" s="2"/>
      <c r="G46" s="65"/>
      <c r="H46" s="2"/>
    </row>
    <row r="47" spans="1:14" ht="24.4" customHeight="1" x14ac:dyDescent="0.35">
      <c r="A47" s="108" t="s">
        <v>41</v>
      </c>
      <c r="B47" s="106" t="s">
        <v>112</v>
      </c>
      <c r="C47" s="59" t="s">
        <v>88</v>
      </c>
      <c r="D47" s="59" t="s">
        <v>121</v>
      </c>
      <c r="E47" s="60" t="s">
        <v>86</v>
      </c>
      <c r="F47" s="2"/>
      <c r="G47" s="2"/>
      <c r="H47" s="114"/>
    </row>
    <row r="48" spans="1:14" ht="24.4" customHeight="1" thickBot="1" x14ac:dyDescent="0.3">
      <c r="A48" s="62">
        <f ca="1">L30</f>
        <v>0.40765407123820585</v>
      </c>
      <c r="B48" s="63">
        <f ca="1">24*J5*(J5-2)*(J5-3)/((J5+1)^2*(J5+3)*(J5+5))</f>
        <v>0.36218119658119657</v>
      </c>
      <c r="C48" s="49">
        <f ca="1">(A48+6/(J5+1))/B48^0.5</f>
        <v>0.87677133731427404</v>
      </c>
      <c r="D48" s="205">
        <f>NORMINV(1-E42/2,0,1)</f>
        <v>1.9599639845400536</v>
      </c>
      <c r="E48" s="109">
        <f ca="1">2*MIN(NORMSDIST(C48),1-NORMSDIST(C48))</f>
        <v>0.38061085039072085</v>
      </c>
      <c r="F48" s="574" t="str">
        <f ca="1">IF(ABS(C48)&gt;=D48,"→ nulová špičatost se zamítá","→ nulová špičatost se nezamítá")</f>
        <v>→ nulová špičatost se nezamítá</v>
      </c>
      <c r="G48" s="575"/>
      <c r="H48" s="576"/>
    </row>
    <row r="49" spans="1:10" ht="24.4" customHeight="1" thickBot="1" x14ac:dyDescent="0.4">
      <c r="A49" s="274" t="s">
        <v>179</v>
      </c>
      <c r="B49" s="274"/>
      <c r="C49" s="274"/>
      <c r="D49" s="274"/>
      <c r="E49" s="274"/>
      <c r="F49" s="46"/>
      <c r="G49" s="46"/>
    </row>
    <row r="50" spans="1:10" ht="24.4" customHeight="1" x14ac:dyDescent="0.35">
      <c r="A50" s="138" t="s">
        <v>87</v>
      </c>
      <c r="B50" s="139" t="s">
        <v>88</v>
      </c>
      <c r="C50" s="59" t="s">
        <v>89</v>
      </c>
      <c r="D50" s="142" t="s">
        <v>122</v>
      </c>
      <c r="E50" s="70" t="s">
        <v>86</v>
      </c>
      <c r="F50" s="68"/>
      <c r="G50" s="71"/>
      <c r="H50" s="42"/>
    </row>
    <row r="51" spans="1:10" ht="24.4" customHeight="1" thickBot="1" x14ac:dyDescent="0.3">
      <c r="A51" s="140">
        <f ca="1">C45</f>
        <v>2.436661889062592</v>
      </c>
      <c r="B51" s="141">
        <f ca="1">C48</f>
        <v>0.87677133731427404</v>
      </c>
      <c r="C51" s="49">
        <f ca="1">A51^2+B51^2</f>
        <v>6.7060491395459394</v>
      </c>
      <c r="D51" s="205">
        <f>CHIINV(E42,2)</f>
        <v>5.9914645471079817</v>
      </c>
      <c r="E51" s="51">
        <f ca="1">CHIDIST(C51,2)</f>
        <v>3.4978399338486239E-2</v>
      </c>
      <c r="F51" s="577" t="str">
        <f ca="1">IF(C51&gt;=D51,"→ normální rozdělení se zamítá","→ normální rozdělení se nezamítá")</f>
        <v>→ normální rozdělení se zamítá</v>
      </c>
      <c r="G51" s="578"/>
      <c r="H51" s="579"/>
    </row>
    <row r="52" spans="1:10" ht="24.4" customHeight="1" x14ac:dyDescent="0.35">
      <c r="F52" s="46"/>
      <c r="G52" s="46"/>
    </row>
    <row r="53" spans="1:10" ht="24.4" customHeight="1" thickBot="1" x14ac:dyDescent="0.4">
      <c r="A53" s="279" t="s">
        <v>224</v>
      </c>
      <c r="B53" s="279"/>
      <c r="C53" s="279"/>
      <c r="D53" s="279"/>
      <c r="E53" s="279"/>
      <c r="F53" s="46"/>
      <c r="G53" s="46"/>
      <c r="I53" s="73"/>
      <c r="J53" s="53"/>
    </row>
    <row r="54" spans="1:10" ht="24.4" customHeight="1" x14ac:dyDescent="0.35">
      <c r="A54" s="108" t="s">
        <v>58</v>
      </c>
      <c r="B54" s="106" t="s">
        <v>226</v>
      </c>
      <c r="C54" s="361" t="s">
        <v>60</v>
      </c>
      <c r="D54" s="139" t="s">
        <v>9</v>
      </c>
      <c r="E54" s="59" t="s">
        <v>220</v>
      </c>
      <c r="F54" s="59" t="s">
        <v>121</v>
      </c>
      <c r="G54" s="60" t="s">
        <v>86</v>
      </c>
      <c r="H54" s="2"/>
      <c r="I54" s="2"/>
      <c r="J54" s="2"/>
    </row>
    <row r="55" spans="1:10" ht="24.4" customHeight="1" thickBot="1" x14ac:dyDescent="0.3">
      <c r="A55" s="62">
        <f ca="1">3*(J5^2+27*J5-70)*(J5+1)*(J5+3)/((J5-2)*(J5+5)*(J5+7)*(J5+9))</f>
        <v>3.4574468085106385</v>
      </c>
      <c r="B55" s="63">
        <f ca="1">(2*(A55-1))^0.5-1</f>
        <v>1.2169559348397696</v>
      </c>
      <c r="C55" s="63">
        <f ca="1">1/(LN(B55^0.5))^0.5</f>
        <v>3.1915133379010641</v>
      </c>
      <c r="D55" s="63">
        <f ca="1">(2/(B55-1))^0.5</f>
        <v>3.0361919917958211</v>
      </c>
      <c r="E55" s="49">
        <f ca="1">A61</f>
        <v>2.3446436822262955</v>
      </c>
      <c r="F55" s="205">
        <f>NORMINV(1-E42/2,0,1)</f>
        <v>1.9599639845400536</v>
      </c>
      <c r="G55" s="109">
        <f ca="1">2*MIN(NORMSDIST(E55),1-NORMSDIST(E55))</f>
        <v>1.904527077967777E-2</v>
      </c>
      <c r="H55" s="357" t="str">
        <f ca="1">IF(ABS(E55)&gt;=F55,"→ nulová šikmost se zamítá","→ nulová šikmost se nezamítá")</f>
        <v>→ nulová šikmost se zamítá</v>
      </c>
      <c r="I55" s="357"/>
      <c r="J55" s="358"/>
    </row>
    <row r="56" spans="1:10" ht="24.4" customHeight="1" thickBot="1" x14ac:dyDescent="0.4">
      <c r="A56" s="274" t="s">
        <v>225</v>
      </c>
      <c r="B56" s="279"/>
      <c r="C56" s="279"/>
      <c r="D56" s="279"/>
      <c r="E56" s="279"/>
      <c r="F56" s="46"/>
      <c r="G56" s="46"/>
      <c r="I56" s="73"/>
      <c r="J56" s="53"/>
    </row>
    <row r="57" spans="1:10" ht="24.4" customHeight="1" x14ac:dyDescent="0.35">
      <c r="A57" s="108" t="s">
        <v>223</v>
      </c>
      <c r="B57" s="106" t="s">
        <v>20</v>
      </c>
      <c r="C57" s="360" t="s">
        <v>221</v>
      </c>
      <c r="D57" s="59" t="s">
        <v>121</v>
      </c>
      <c r="E57" s="60" t="s">
        <v>86</v>
      </c>
      <c r="F57" s="2"/>
      <c r="G57" s="2"/>
      <c r="H57" s="114"/>
      <c r="I57" s="73"/>
      <c r="J57" s="53"/>
    </row>
    <row r="58" spans="1:10" ht="24.4" customHeight="1" thickBot="1" x14ac:dyDescent="0.3">
      <c r="A58" s="62">
        <f ca="1">6*(J5^2-5*J5+2)/((J5+7)*(J5+9))*SQRT(6*(J5+3)*(J5+5)/(J5*(J5-2)*(J5-3)))</f>
        <v>1.5897724341239505</v>
      </c>
      <c r="B58" s="63">
        <f ca="1">6+8/A58*(2/A58+SQRT(1+4/A58^2))</f>
        <v>20.417711842600482</v>
      </c>
      <c r="C58" s="49">
        <f ca="1">B61</f>
        <v>1.0080799189008756</v>
      </c>
      <c r="D58" s="205">
        <f>NORMINV(1-E42/2,0,1)</f>
        <v>1.9599639845400536</v>
      </c>
      <c r="E58" s="109">
        <f ca="1">2*MIN(NORMSDIST(C58),1-NORMSDIST(C58))</f>
        <v>0.31341609711069895</v>
      </c>
      <c r="F58" s="574" t="str">
        <f ca="1">IF(ABS(C58)&gt;=D58,"→ nulová špičatost se zamítá","→ nulová špičatost se nezamítá")</f>
        <v>→ nulová špičatost se nezamítá</v>
      </c>
      <c r="G58" s="575"/>
      <c r="H58" s="576"/>
      <c r="I58" s="73"/>
      <c r="J58" s="53"/>
    </row>
    <row r="59" spans="1:10" ht="24.4" customHeight="1" thickBot="1" x14ac:dyDescent="0.4">
      <c r="A59" s="274" t="s">
        <v>219</v>
      </c>
      <c r="B59" s="274"/>
      <c r="C59" s="274"/>
      <c r="D59" s="274"/>
      <c r="E59" s="274"/>
      <c r="F59" s="46"/>
      <c r="G59" s="46"/>
    </row>
    <row r="60" spans="1:10" ht="24.4" customHeight="1" x14ac:dyDescent="0.35">
      <c r="A60" s="138" t="s">
        <v>220</v>
      </c>
      <c r="B60" s="359" t="s">
        <v>221</v>
      </c>
      <c r="C60" s="59" t="s">
        <v>222</v>
      </c>
      <c r="D60" s="142" t="s">
        <v>122</v>
      </c>
      <c r="E60" s="70" t="s">
        <v>86</v>
      </c>
      <c r="F60" s="68"/>
      <c r="G60" s="71"/>
      <c r="H60" s="42"/>
    </row>
    <row r="61" spans="1:10" ht="24.4" customHeight="1" thickBot="1" x14ac:dyDescent="0.3">
      <c r="A61" s="62">
        <f ca="1">C55*LN(A51/D55+((A51/D55)^2+1)^0.5)</f>
        <v>2.3446436822262955</v>
      </c>
      <c r="B61" s="63">
        <f ca="1">(1-2/(9*B58)-((1-2/B58)/(1+B51*SQRT(2/(B58-4))))^(1/3))/SQRT(2/(9*B58))</f>
        <v>1.0080799189008756</v>
      </c>
      <c r="C61" s="49">
        <f ca="1">A61^2+B61^2</f>
        <v>6.513579119494878</v>
      </c>
      <c r="D61" s="205">
        <f>CHIINV(E42,2)</f>
        <v>5.9914645471079817</v>
      </c>
      <c r="E61" s="51">
        <f ca="1">CHIDIST(C61,2)</f>
        <v>3.8511839720860155E-2</v>
      </c>
      <c r="F61" s="577" t="str">
        <f ca="1">IF(C61&gt;=D61,"→ normální rozdělení se zamítá","→ normální rozdělení se nezamítá")</f>
        <v>→ normální rozdělení se zamítá</v>
      </c>
      <c r="G61" s="578"/>
      <c r="H61" s="579"/>
    </row>
    <row r="62" spans="1:10" ht="24.4" customHeight="1" x14ac:dyDescent="0.35">
      <c r="A62" s="5"/>
      <c r="C62" s="46"/>
      <c r="D62" s="46"/>
      <c r="E62" s="46"/>
      <c r="F62" s="46"/>
      <c r="G62" s="46"/>
    </row>
    <row r="63" spans="1:10" ht="24.4" customHeight="1" x14ac:dyDescent="0.25">
      <c r="A63" s="5"/>
    </row>
    <row r="64" spans="1:10" ht="24.4" customHeight="1" x14ac:dyDescent="0.25">
      <c r="A64" s="5"/>
    </row>
    <row r="65" spans="1:1" ht="24.4" customHeight="1" x14ac:dyDescent="0.25">
      <c r="A65" s="5"/>
    </row>
    <row r="66" spans="1:1" ht="24.4" customHeight="1" x14ac:dyDescent="0.25">
      <c r="A66" s="5"/>
    </row>
    <row r="67" spans="1:1" ht="24.4" customHeight="1" x14ac:dyDescent="0.25">
      <c r="A67" s="5"/>
    </row>
    <row r="68" spans="1:1" ht="24.4" customHeight="1" x14ac:dyDescent="0.25">
      <c r="A68" s="5"/>
    </row>
    <row r="69" spans="1:1" ht="24.4" customHeight="1" x14ac:dyDescent="0.25">
      <c r="A69" s="5"/>
    </row>
    <row r="70" spans="1:1" ht="24.4" customHeight="1" x14ac:dyDescent="0.25">
      <c r="A70" s="5"/>
    </row>
    <row r="71" spans="1:1" ht="24.4" customHeight="1" x14ac:dyDescent="0.25">
      <c r="A71" s="5"/>
    </row>
    <row r="72" spans="1:1" ht="24.4" customHeight="1" x14ac:dyDescent="0.25">
      <c r="A72" s="5"/>
    </row>
    <row r="73" spans="1:1" ht="24.4" customHeight="1" x14ac:dyDescent="0.25">
      <c r="A73" s="5"/>
    </row>
    <row r="74" spans="1:1" ht="24.4" customHeight="1" x14ac:dyDescent="0.25">
      <c r="A74" s="5"/>
    </row>
  </sheetData>
  <sheetProtection password="DBEF" sheet="1" objects="1" scenarios="1" formatCells="0" formatRows="0"/>
  <mergeCells count="7">
    <mergeCell ref="I9:J9"/>
    <mergeCell ref="F61:H61"/>
    <mergeCell ref="F51:H51"/>
    <mergeCell ref="A25:B25"/>
    <mergeCell ref="F45:H45"/>
    <mergeCell ref="F48:H48"/>
    <mergeCell ref="F58:H58"/>
  </mergeCells>
  <phoneticPr fontId="7" type="noConversion"/>
  <printOptions horizontalCentered="1"/>
  <pageMargins left="0.98425196850393704" right="0.98425196850393704" top="0.85" bottom="0.78740157480314965" header="0.51181102362204722" footer="0.51181102362204722"/>
  <pageSetup paperSize="9" scale="85" orientation="landscape" horizontalDpi="180" verticalDpi="180" r:id="rId1"/>
  <headerFooter alignWithMargins="0">
    <oddHeader>&amp;C&amp;12Elementární zpracování dat - intervalové rozdělení četností</oddHeader>
    <oddFooter>&amp;C&amp;8statvyp.xls</oddFooter>
  </headerFooter>
  <ignoredErrors>
    <ignoredError sqref="H30" formula="1"/>
  </ignoredErrors>
  <drawing r:id="rId2"/>
  <legacyDrawing r:id="rId3"/>
  <oleObjects>
    <mc:AlternateContent xmlns:mc="http://schemas.openxmlformats.org/markup-compatibility/2006">
      <mc:Choice Requires="x14">
        <oleObject progId="Equation.2" shapeId="4157" r:id="rId4">
          <objectPr defaultSize="0" autoLine="0" r:id="rId5">
            <anchor moveWithCells="1">
              <from>
                <xdr:col>2</xdr:col>
                <xdr:colOff>285750</xdr:colOff>
                <xdr:row>28</xdr:row>
                <xdr:rowOff>50800</xdr:rowOff>
              </from>
              <to>
                <xdr:col>2</xdr:col>
                <xdr:colOff>438150</xdr:colOff>
                <xdr:row>28</xdr:row>
                <xdr:rowOff>279400</xdr:rowOff>
              </to>
            </anchor>
          </objectPr>
        </oleObject>
      </mc:Choice>
      <mc:Fallback>
        <oleObject progId="Equation.2" shapeId="4157" r:id="rId4"/>
      </mc:Fallback>
    </mc:AlternateContent>
    <mc:AlternateContent xmlns:mc="http://schemas.openxmlformats.org/markup-compatibility/2006">
      <mc:Choice Requires="x14">
        <oleObject progId="Equation.3" shapeId="4158" r:id="rId6">
          <objectPr defaultSize="0" autoLine="0" r:id="rId7">
            <anchor moveWithCells="1">
              <from>
                <xdr:col>4</xdr:col>
                <xdr:colOff>323850</xdr:colOff>
                <xdr:row>28</xdr:row>
                <xdr:rowOff>88900</xdr:rowOff>
              </from>
              <to>
                <xdr:col>4</xdr:col>
                <xdr:colOff>450850</xdr:colOff>
                <xdr:row>28</xdr:row>
                <xdr:rowOff>247650</xdr:rowOff>
              </to>
            </anchor>
          </objectPr>
        </oleObject>
      </mc:Choice>
      <mc:Fallback>
        <oleObject progId="Equation.3" shapeId="4158" r:id="rId6"/>
      </mc:Fallback>
    </mc:AlternateContent>
    <mc:AlternateContent xmlns:mc="http://schemas.openxmlformats.org/markup-compatibility/2006">
      <mc:Choice Requires="x14">
        <oleObject progId="Equation.3" shapeId="4159" r:id="rId8">
          <objectPr defaultSize="0" r:id="rId9">
            <anchor moveWithCells="1">
              <from>
                <xdr:col>1</xdr:col>
                <xdr:colOff>171450</xdr:colOff>
                <xdr:row>28</xdr:row>
                <xdr:rowOff>50800</xdr:rowOff>
              </from>
              <to>
                <xdr:col>1</xdr:col>
                <xdr:colOff>552450</xdr:colOff>
                <xdr:row>28</xdr:row>
                <xdr:rowOff>279400</xdr:rowOff>
              </to>
            </anchor>
          </objectPr>
        </oleObject>
      </mc:Choice>
      <mc:Fallback>
        <oleObject progId="Equation.3" shapeId="4159" r:id="rId8"/>
      </mc:Fallback>
    </mc:AlternateContent>
    <mc:AlternateContent xmlns:mc="http://schemas.openxmlformats.org/markup-compatibility/2006">
      <mc:Choice Requires="x14">
        <oleObject progId="Equation.2" shapeId="4160" r:id="rId10">
          <objectPr defaultSize="0" autoLine="0" r:id="rId11">
            <anchor moveWithCells="1">
              <from>
                <xdr:col>4</xdr:col>
                <xdr:colOff>285750</xdr:colOff>
                <xdr:row>26</xdr:row>
                <xdr:rowOff>69850</xdr:rowOff>
              </from>
              <to>
                <xdr:col>4</xdr:col>
                <xdr:colOff>469900</xdr:colOff>
                <xdr:row>26</xdr:row>
                <xdr:rowOff>285750</xdr:rowOff>
              </to>
            </anchor>
          </objectPr>
        </oleObject>
      </mc:Choice>
      <mc:Fallback>
        <oleObject progId="Equation.2" shapeId="4160" r:id="rId10"/>
      </mc:Fallback>
    </mc:AlternateContent>
    <mc:AlternateContent xmlns:mc="http://schemas.openxmlformats.org/markup-compatibility/2006">
      <mc:Choice Requires="x14">
        <oleObject progId="Equation.3" shapeId="4162" r:id="rId12">
          <objectPr defaultSize="0" autoLine="0" r:id="rId13">
            <anchor moveWithCells="1">
              <from>
                <xdr:col>1</xdr:col>
                <xdr:colOff>323850</xdr:colOff>
                <xdr:row>26</xdr:row>
                <xdr:rowOff>88900</xdr:rowOff>
              </from>
              <to>
                <xdr:col>1</xdr:col>
                <xdr:colOff>450850</xdr:colOff>
                <xdr:row>26</xdr:row>
                <xdr:rowOff>241300</xdr:rowOff>
              </to>
            </anchor>
          </objectPr>
        </oleObject>
      </mc:Choice>
      <mc:Fallback>
        <oleObject progId="Equation.3" shapeId="4162" r:id="rId12"/>
      </mc:Fallback>
    </mc:AlternateContent>
    <mc:AlternateContent xmlns:mc="http://schemas.openxmlformats.org/markup-compatibility/2006">
      <mc:Choice Requires="x14">
        <oleObject progId="Equation.3" shapeId="4163" r:id="rId14">
          <objectPr defaultSize="0" autoLine="0" r:id="rId15">
            <anchor moveWithCells="1">
              <from>
                <xdr:col>7</xdr:col>
                <xdr:colOff>336550</xdr:colOff>
                <xdr:row>26</xdr:row>
                <xdr:rowOff>95250</xdr:rowOff>
              </from>
              <to>
                <xdr:col>7</xdr:col>
                <xdr:colOff>476250</xdr:colOff>
                <xdr:row>26</xdr:row>
                <xdr:rowOff>260350</xdr:rowOff>
              </to>
            </anchor>
          </objectPr>
        </oleObject>
      </mc:Choice>
      <mc:Fallback>
        <oleObject progId="Equation.3" shapeId="4163" r:id="rId1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56" r:id="rId16" name="Drop Down 60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pageSetUpPr fitToPage="1"/>
  </sheetPr>
  <dimension ref="A1:N77"/>
  <sheetViews>
    <sheetView showGridLines="0" workbookViewId="0">
      <pane ySplit="2" topLeftCell="A3" activePane="bottomLeft" state="frozen"/>
      <selection activeCell="L15" sqref="L15"/>
      <selection pane="bottomLeft" activeCell="I1" sqref="I1"/>
    </sheetView>
  </sheetViews>
  <sheetFormatPr defaultColWidth="10.7265625" defaultRowHeight="24.4" customHeight="1" x14ac:dyDescent="0.25"/>
  <cols>
    <col min="1" max="16384" width="10.7265625" style="79"/>
  </cols>
  <sheetData>
    <row r="1" spans="1:13" ht="24.4" customHeight="1" x14ac:dyDescent="0.25">
      <c r="A1" s="290" t="s">
        <v>56</v>
      </c>
      <c r="B1" s="117"/>
      <c r="C1" s="117"/>
      <c r="D1" s="117"/>
      <c r="E1" s="117"/>
      <c r="F1" s="117"/>
    </row>
    <row r="2" spans="1:13" ht="24.4" customHeight="1" x14ac:dyDescent="0.25">
      <c r="B2" s="281" t="s">
        <v>79</v>
      </c>
      <c r="C2" s="119"/>
      <c r="D2" s="119"/>
      <c r="E2" s="119"/>
      <c r="F2" s="78"/>
      <c r="G2" s="94"/>
      <c r="H2" s="78"/>
      <c r="I2" s="119"/>
      <c r="J2" s="78"/>
      <c r="K2" s="78"/>
      <c r="L2" s="78"/>
    </row>
    <row r="3" spans="1:13" ht="24.4" customHeight="1" thickBot="1" x14ac:dyDescent="0.3">
      <c r="A3" s="81"/>
      <c r="B3" s="83"/>
      <c r="C3" s="83"/>
      <c r="D3" s="83"/>
      <c r="E3" s="83"/>
      <c r="F3" s="80"/>
      <c r="G3" s="91"/>
      <c r="H3" s="80"/>
      <c r="I3" s="83"/>
      <c r="J3" s="80"/>
      <c r="K3" s="80"/>
      <c r="L3" s="80"/>
    </row>
    <row r="4" spans="1:13" ht="24.4" customHeight="1" x14ac:dyDescent="0.25">
      <c r="A4" s="143" t="s">
        <v>0</v>
      </c>
      <c r="B4" s="144"/>
      <c r="C4" s="106" t="s">
        <v>72</v>
      </c>
      <c r="D4" s="224" t="s">
        <v>166</v>
      </c>
      <c r="F4" s="180" t="s">
        <v>123</v>
      </c>
      <c r="H4" s="81"/>
      <c r="I4" s="81"/>
      <c r="J4" s="82"/>
    </row>
    <row r="5" spans="1:13" ht="24.4" customHeight="1" thickBot="1" x14ac:dyDescent="0.3">
      <c r="A5" s="200">
        <f ca="1">COUNT(INDIRECT(pomocny!P6))</f>
        <v>30</v>
      </c>
      <c r="B5" s="169">
        <f ca="1">AVERAGE(INDIRECT(pomocny!P6))</f>
        <v>995.23333333333335</v>
      </c>
      <c r="C5" s="169">
        <f ca="1">STDEV(INDIRECT(pomocny!P6))</f>
        <v>2.1922014338187039</v>
      </c>
      <c r="D5" s="170">
        <f ca="1">VAR(INDIRECT(pomocny!P6))</f>
        <v>4.8057471264367821</v>
      </c>
      <c r="F5" s="181">
        <v>0.05</v>
      </c>
      <c r="H5" s="83"/>
      <c r="I5" s="81"/>
    </row>
    <row r="6" spans="1:13" s="88" customFormat="1" ht="24.4" customHeight="1" x14ac:dyDescent="0.25">
      <c r="A6" s="157"/>
      <c r="B6" s="87"/>
      <c r="C6" s="87"/>
      <c r="D6" s="87"/>
      <c r="E6" s="158"/>
      <c r="H6" s="83"/>
      <c r="I6" s="81"/>
    </row>
    <row r="7" spans="1:13" ht="24.4" customHeight="1" thickBot="1" x14ac:dyDescent="0.3">
      <c r="A7" s="233" t="s">
        <v>170</v>
      </c>
      <c r="B7" s="284"/>
      <c r="C7" s="284"/>
      <c r="D7" s="84"/>
      <c r="E7" s="84"/>
      <c r="F7" s="285" t="s">
        <v>171</v>
      </c>
      <c r="G7" s="286"/>
      <c r="H7" s="84"/>
    </row>
    <row r="8" spans="1:13" ht="24.4" customHeight="1" x14ac:dyDescent="0.25">
      <c r="A8" s="145"/>
      <c r="B8" s="146"/>
      <c r="C8" s="146"/>
      <c r="D8" s="147" t="s">
        <v>50</v>
      </c>
      <c r="E8" s="84"/>
      <c r="F8" s="589" t="s">
        <v>105</v>
      </c>
      <c r="G8" s="590"/>
      <c r="H8" s="146" t="s">
        <v>13</v>
      </c>
      <c r="I8" s="147" t="s">
        <v>14</v>
      </c>
    </row>
    <row r="9" spans="1:13" ht="24.4" customHeight="1" thickBot="1" x14ac:dyDescent="0.3">
      <c r="A9" s="148">
        <f ca="1">B5</f>
        <v>995.23333333333335</v>
      </c>
      <c r="B9" s="149">
        <f ca="1">D5</f>
        <v>4.8057471264367821</v>
      </c>
      <c r="C9" s="149">
        <f ca="1">C5</f>
        <v>2.1922014338187039</v>
      </c>
      <c r="D9" s="150">
        <f ca="1">C5/SQRT(A5)</f>
        <v>0.40023939196589087</v>
      </c>
      <c r="E9" s="84"/>
      <c r="F9" s="591">
        <v>0.2</v>
      </c>
      <c r="G9" s="592"/>
      <c r="H9" s="152">
        <f>1-F5</f>
        <v>0.95</v>
      </c>
      <c r="I9" s="153">
        <f ca="1">INT(K13^2*C5^2/F9^2)+1</f>
        <v>503</v>
      </c>
    </row>
    <row r="10" spans="1:13" ht="24.4" customHeight="1" x14ac:dyDescent="0.25">
      <c r="A10" s="84"/>
      <c r="B10" s="84"/>
      <c r="C10" s="84"/>
      <c r="D10" s="84"/>
      <c r="E10" s="84"/>
    </row>
    <row r="11" spans="1:13" ht="24.4" customHeight="1" thickBot="1" x14ac:dyDescent="0.3">
      <c r="A11" s="234" t="s">
        <v>172</v>
      </c>
      <c r="B11" s="84"/>
      <c r="C11" s="84"/>
      <c r="D11" s="84"/>
      <c r="E11" s="84"/>
      <c r="F11" s="84"/>
      <c r="G11" s="84"/>
      <c r="H11" s="84"/>
      <c r="I11" s="287" t="s">
        <v>127</v>
      </c>
      <c r="J11" s="184"/>
      <c r="L11" s="80"/>
    </row>
    <row r="12" spans="1:13" ht="24.4" customHeight="1" x14ac:dyDescent="0.25">
      <c r="A12" s="145" t="s">
        <v>13</v>
      </c>
      <c r="B12" s="587" t="s">
        <v>15</v>
      </c>
      <c r="C12" s="588"/>
      <c r="D12" s="159" t="s">
        <v>128</v>
      </c>
      <c r="E12" s="146" t="s">
        <v>16</v>
      </c>
      <c r="F12" s="146" t="s">
        <v>17</v>
      </c>
      <c r="G12" s="160" t="s">
        <v>128</v>
      </c>
      <c r="H12" s="84"/>
      <c r="I12" s="165" t="s">
        <v>125</v>
      </c>
      <c r="J12" s="166" t="s">
        <v>124</v>
      </c>
      <c r="K12" s="167" t="s">
        <v>126</v>
      </c>
    </row>
    <row r="13" spans="1:13" ht="24.4" customHeight="1" thickBot="1" x14ac:dyDescent="0.3">
      <c r="A13" s="161">
        <f>1-F5</f>
        <v>0.95</v>
      </c>
      <c r="B13" s="149">
        <f ca="1">B5-K13*C5/SQRT(A5)</f>
        <v>994.41475186493551</v>
      </c>
      <c r="C13" s="149">
        <f ca="1">B5+K13*C5/SQRT(A5)</f>
        <v>996.05191480173119</v>
      </c>
      <c r="D13" s="317">
        <f ca="1">K13*C5/SQRT(A5)</f>
        <v>0.81858146839781043</v>
      </c>
      <c r="E13" s="149">
        <f ca="1">B5-J13*C5/SQRT(A5)</f>
        <v>994.55327576536081</v>
      </c>
      <c r="F13" s="163">
        <f ca="1">B5+J13*C5/SQRT(A5)</f>
        <v>995.91339090130589</v>
      </c>
      <c r="G13" s="316">
        <f ca="1">J13*C5/SQRT(A5)</f>
        <v>0.68005756797257966</v>
      </c>
      <c r="H13" s="84"/>
      <c r="I13" s="168">
        <f ca="1">A5-1</f>
        <v>29</v>
      </c>
      <c r="J13" s="169">
        <f ca="1">TINV(2*F5,A5-1)</f>
        <v>1.6991270265334986</v>
      </c>
      <c r="K13" s="170">
        <f ca="1">TINV(F5,A5-1)</f>
        <v>2.0452296421327048</v>
      </c>
      <c r="L13" s="81"/>
      <c r="M13" s="81"/>
    </row>
    <row r="14" spans="1:13" s="88" customFormat="1" ht="24.4" customHeight="1" x14ac:dyDescent="0.25">
      <c r="A14" s="85"/>
      <c r="B14" s="86"/>
      <c r="C14" s="86"/>
      <c r="D14" s="86"/>
      <c r="E14" s="86"/>
      <c r="F14" s="86"/>
      <c r="G14" s="86"/>
      <c r="H14" s="90"/>
      <c r="L14" s="87"/>
      <c r="M14" s="87"/>
    </row>
    <row r="15" spans="1:13" s="88" customFormat="1" ht="24.4" customHeight="1" x14ac:dyDescent="0.25">
      <c r="A15" s="235" t="s">
        <v>173</v>
      </c>
      <c r="B15" s="90"/>
      <c r="C15" s="90"/>
      <c r="D15" s="96"/>
      <c r="E15" s="90"/>
      <c r="F15" s="96"/>
      <c r="G15" s="96"/>
      <c r="H15" s="96"/>
      <c r="I15" s="81"/>
      <c r="J15" s="81"/>
      <c r="K15" s="81"/>
      <c r="L15" s="81"/>
    </row>
    <row r="16" spans="1:13" ht="24.4" customHeight="1" x14ac:dyDescent="0.25">
      <c r="A16" s="234"/>
      <c r="B16" s="91"/>
      <c r="C16" s="91"/>
      <c r="D16" s="84"/>
      <c r="E16" s="91"/>
      <c r="F16" s="84"/>
      <c r="G16" s="84"/>
      <c r="H16" s="84"/>
      <c r="J16" s="81"/>
      <c r="K16" s="81"/>
      <c r="L16" s="81"/>
    </row>
    <row r="17" spans="1:12" ht="24.4" customHeight="1" x14ac:dyDescent="0.25">
      <c r="A17" s="234"/>
      <c r="B17" s="91"/>
      <c r="C17" s="91"/>
      <c r="D17" s="84"/>
      <c r="E17" s="91"/>
      <c r="F17" s="84"/>
      <c r="G17" s="84"/>
      <c r="H17" s="353">
        <v>2</v>
      </c>
      <c r="J17" s="81"/>
      <c r="K17" s="81"/>
      <c r="L17" s="81"/>
    </row>
    <row r="18" spans="1:12" ht="24.4" customHeight="1" thickBot="1" x14ac:dyDescent="0.3">
      <c r="A18" s="234"/>
      <c r="B18" s="91"/>
      <c r="C18" s="91"/>
      <c r="D18" s="84"/>
      <c r="E18" s="91"/>
      <c r="F18" s="84"/>
      <c r="G18" s="84"/>
      <c r="H18" s="84"/>
      <c r="I18" s="84"/>
      <c r="J18" s="81"/>
      <c r="K18" s="81"/>
      <c r="L18" s="81"/>
    </row>
    <row r="19" spans="1:12" ht="24.4" customHeight="1" thickBot="1" x14ac:dyDescent="0.3">
      <c r="A19" s="174" t="s">
        <v>131</v>
      </c>
      <c r="B19" s="337">
        <v>130</v>
      </c>
      <c r="C19" s="335"/>
      <c r="D19" s="336"/>
      <c r="H19" s="84"/>
      <c r="I19" s="84"/>
    </row>
    <row r="20" spans="1:12" ht="24.4" customHeight="1" x14ac:dyDescent="0.25">
      <c r="A20" s="145" t="s">
        <v>18</v>
      </c>
      <c r="B20" s="173" t="s">
        <v>73</v>
      </c>
      <c r="C20" s="173" t="s">
        <v>194</v>
      </c>
      <c r="D20" s="173" t="s">
        <v>141</v>
      </c>
      <c r="E20" s="173" t="s">
        <v>86</v>
      </c>
      <c r="F20" s="146" t="s">
        <v>19</v>
      </c>
      <c r="G20" s="151" t="s">
        <v>20</v>
      </c>
      <c r="H20" s="84"/>
      <c r="I20" s="84"/>
      <c r="J20" s="81"/>
      <c r="K20" s="81"/>
      <c r="L20" s="81"/>
    </row>
    <row r="21" spans="1:12" ht="24.4" customHeight="1" thickBot="1" x14ac:dyDescent="0.3">
      <c r="A21" s="344">
        <f>1-F5</f>
        <v>0.95</v>
      </c>
      <c r="B21" s="149">
        <f ca="1">(B5-B19)/C5*SQRT(A5)</f>
        <v>2161.7895457103582</v>
      </c>
      <c r="C21" s="331" t="str">
        <f ca="1">IF(E21&lt;=F5,"ano","ne")</f>
        <v>ano</v>
      </c>
      <c r="D21" s="149">
        <f ca="1">IF(H17=1,K13,IF(H17=2,J13,-J13))</f>
        <v>1.6991270265334986</v>
      </c>
      <c r="E21" s="149">
        <f ca="1">IF(H17=1,IF(B21&lt;0,2*MIN(1-TDIST(-B21,I13,1),TDIST(-B21,I13,1)),2*MIN(1-TDIST(B21,I13,1),TDIST(B21,I13,1))),IF(H17=2,IF(B21&lt;0,1-TDIST(-B21,I13,1),TDIST(B21,I13,1)),IF(B21&lt;0,TDIST(-B21,I13,1),1-TDIST(B21,I13,1))))</f>
        <v>2.296741334468542E-77</v>
      </c>
      <c r="F21" s="149" t="str">
        <f ca="1">IF(C21="ano","zamítá se","nezamítá se")</f>
        <v>zamítá se</v>
      </c>
      <c r="G21" s="332" t="str">
        <f ca="1">IF(C21="ano","se přijme","x")</f>
        <v>se přijme</v>
      </c>
      <c r="H21" s="90"/>
      <c r="I21" s="84"/>
      <c r="J21" s="81"/>
      <c r="K21" s="81"/>
      <c r="L21" s="81"/>
    </row>
    <row r="22" spans="1:12" ht="24.4" customHeight="1" x14ac:dyDescent="0.25">
      <c r="A22" s="85"/>
      <c r="B22" s="89"/>
      <c r="C22" s="89"/>
      <c r="D22" s="90"/>
      <c r="E22" s="87"/>
      <c r="F22" s="86"/>
      <c r="G22" s="90"/>
      <c r="H22" s="90"/>
      <c r="I22" s="90"/>
    </row>
    <row r="23" spans="1:12" ht="24.4" customHeight="1" thickBot="1" x14ac:dyDescent="0.3">
      <c r="A23" s="234" t="s">
        <v>174</v>
      </c>
      <c r="B23" s="84"/>
      <c r="C23" s="84"/>
      <c r="D23" s="84"/>
      <c r="E23" s="84"/>
      <c r="F23" s="84"/>
      <c r="G23" s="176" t="s">
        <v>51</v>
      </c>
      <c r="J23" s="88"/>
      <c r="K23" s="88"/>
    </row>
    <row r="24" spans="1:12" ht="24.4" customHeight="1" x14ac:dyDescent="0.25">
      <c r="A24" s="145" t="s">
        <v>13</v>
      </c>
      <c r="B24" s="587" t="s">
        <v>15</v>
      </c>
      <c r="C24" s="588"/>
      <c r="D24" s="146" t="s">
        <v>16</v>
      </c>
      <c r="E24" s="151" t="s">
        <v>17</v>
      </c>
      <c r="F24" s="84"/>
      <c r="G24" s="165" t="s">
        <v>125</v>
      </c>
      <c r="H24" s="159" t="s">
        <v>132</v>
      </c>
      <c r="I24" s="159" t="s">
        <v>133</v>
      </c>
      <c r="J24" s="159" t="s">
        <v>134</v>
      </c>
      <c r="K24" s="160" t="s">
        <v>135</v>
      </c>
    </row>
    <row r="25" spans="1:12" ht="24.4" customHeight="1" thickBot="1" x14ac:dyDescent="0.3">
      <c r="A25" s="161">
        <f>1-F5</f>
        <v>0.95</v>
      </c>
      <c r="B25" s="149">
        <f ca="1">(A5-1)*C5^2/K25</f>
        <v>3.0481124076684329</v>
      </c>
      <c r="C25" s="149">
        <f ca="1">(A5-1)*C5^2/H25</f>
        <v>8.6848659563801878</v>
      </c>
      <c r="D25" s="149">
        <f ca="1">(A5-1)*C5^2/J25</f>
        <v>3.2748260474659299</v>
      </c>
      <c r="E25" s="150">
        <f ca="1">(A5-1)*C5^2/I25</f>
        <v>7.8701030477808249</v>
      </c>
      <c r="F25" s="84"/>
      <c r="G25" s="168">
        <f ca="1">A5-1</f>
        <v>29</v>
      </c>
      <c r="H25" s="177">
        <f ca="1">CHIINV(1-F5/2,G25)</f>
        <v>16.047071695364892</v>
      </c>
      <c r="I25" s="177">
        <f ca="1">CHIINV(1-F5,G25)</f>
        <v>17.708366182824584</v>
      </c>
      <c r="J25" s="177">
        <f ca="1">CHIINV(F5,G25)</f>
        <v>42.556967804292682</v>
      </c>
      <c r="K25" s="178">
        <f ca="1">CHIINV(F5/2,G25)</f>
        <v>45.722285804174533</v>
      </c>
    </row>
    <row r="26" spans="1:12" ht="24.4" customHeight="1" x14ac:dyDescent="0.25">
      <c r="A26" s="85"/>
      <c r="B26" s="86"/>
      <c r="C26" s="86"/>
      <c r="D26" s="86"/>
      <c r="E26" s="86"/>
      <c r="F26" s="84"/>
    </row>
    <row r="27" spans="1:12" ht="24.4" customHeight="1" thickBot="1" x14ac:dyDescent="0.3">
      <c r="A27" s="234" t="s">
        <v>175</v>
      </c>
      <c r="B27" s="84"/>
      <c r="C27" s="84"/>
      <c r="D27" s="84"/>
      <c r="E27" s="84"/>
      <c r="F27" s="84"/>
      <c r="G27" s="91"/>
      <c r="H27" s="81"/>
      <c r="I27" s="81"/>
      <c r="J27" s="81"/>
      <c r="K27" s="81"/>
      <c r="L27" s="81"/>
    </row>
    <row r="28" spans="1:12" ht="24.4" customHeight="1" x14ac:dyDescent="0.25">
      <c r="A28" s="145" t="s">
        <v>13</v>
      </c>
      <c r="B28" s="587" t="s">
        <v>15</v>
      </c>
      <c r="C28" s="588"/>
      <c r="D28" s="146" t="s">
        <v>16</v>
      </c>
      <c r="E28" s="151" t="s">
        <v>17</v>
      </c>
      <c r="F28" s="84"/>
      <c r="G28" s="91"/>
      <c r="H28" s="92"/>
      <c r="I28" s="92"/>
      <c r="J28" s="92"/>
      <c r="K28" s="92"/>
      <c r="L28" s="81"/>
    </row>
    <row r="29" spans="1:12" ht="24.4" customHeight="1" thickBot="1" x14ac:dyDescent="0.3">
      <c r="A29" s="161">
        <f>A25</f>
        <v>0.95</v>
      </c>
      <c r="B29" s="149">
        <f ca="1">SQRT(B25)</f>
        <v>1.7458844199054051</v>
      </c>
      <c r="C29" s="149">
        <f ca="1">SQRT(C25)</f>
        <v>2.9470096634351552</v>
      </c>
      <c r="D29" s="149">
        <f ca="1">SQRT(D25)</f>
        <v>1.8096480451916417</v>
      </c>
      <c r="E29" s="150">
        <f ca="1">SQRT(E25)</f>
        <v>2.8053703940443988</v>
      </c>
      <c r="F29" s="84"/>
      <c r="G29" s="80"/>
      <c r="H29" s="80"/>
      <c r="I29" s="80"/>
      <c r="J29" s="80"/>
      <c r="K29" s="80"/>
      <c r="L29" s="80"/>
    </row>
    <row r="30" spans="1:12" ht="24.4" customHeight="1" x14ac:dyDescent="0.25">
      <c r="A30" s="93"/>
      <c r="B30" s="86"/>
      <c r="C30" s="86"/>
      <c r="D30" s="86"/>
      <c r="E30" s="86"/>
      <c r="F30" s="96"/>
      <c r="G30" s="80"/>
      <c r="H30" s="80"/>
      <c r="I30" s="80"/>
    </row>
    <row r="31" spans="1:12" ht="24.4" customHeight="1" x14ac:dyDescent="0.25">
      <c r="A31" s="234" t="s">
        <v>176</v>
      </c>
      <c r="B31" s="84"/>
      <c r="C31" s="91"/>
      <c r="D31" s="84"/>
      <c r="E31" s="91"/>
      <c r="F31" s="91"/>
    </row>
    <row r="32" spans="1:12" ht="24.4" customHeight="1" x14ac:dyDescent="0.25">
      <c r="A32" s="234"/>
      <c r="B32" s="91"/>
      <c r="C32" s="91"/>
      <c r="D32" s="84"/>
      <c r="E32" s="91"/>
      <c r="F32" s="84"/>
      <c r="G32" s="84"/>
      <c r="H32" s="84"/>
    </row>
    <row r="33" spans="1:14" ht="24.4" customHeight="1" x14ac:dyDescent="0.25">
      <c r="A33" s="234"/>
      <c r="B33" s="91"/>
      <c r="C33" s="91"/>
      <c r="D33" s="84"/>
      <c r="E33" s="91"/>
      <c r="F33" s="84"/>
      <c r="G33" s="84"/>
      <c r="H33" s="353">
        <v>1</v>
      </c>
    </row>
    <row r="34" spans="1:14" ht="24.4" customHeight="1" thickBot="1" x14ac:dyDescent="0.3">
      <c r="A34" s="234"/>
      <c r="B34" s="91"/>
      <c r="C34" s="91"/>
      <c r="D34" s="84"/>
      <c r="E34" s="91"/>
      <c r="F34" s="84"/>
      <c r="G34" s="84"/>
      <c r="H34" s="84"/>
      <c r="I34" s="84"/>
    </row>
    <row r="35" spans="1:14" ht="24.4" customHeight="1" thickBot="1" x14ac:dyDescent="0.3">
      <c r="A35" s="179"/>
      <c r="B35" s="339">
        <v>0.74</v>
      </c>
      <c r="C35" s="334"/>
      <c r="D35" s="338"/>
      <c r="I35" s="84"/>
    </row>
    <row r="36" spans="1:14" ht="24.4" customHeight="1" x14ac:dyDescent="0.25">
      <c r="A36" s="145" t="s">
        <v>18</v>
      </c>
      <c r="B36" s="173" t="s">
        <v>193</v>
      </c>
      <c r="C36" s="173" t="s">
        <v>195</v>
      </c>
      <c r="D36" s="585" t="s">
        <v>90</v>
      </c>
      <c r="E36" s="586"/>
      <c r="F36" s="173" t="s">
        <v>86</v>
      </c>
      <c r="G36" s="146" t="s">
        <v>19</v>
      </c>
      <c r="H36" s="151" t="s">
        <v>20</v>
      </c>
      <c r="I36" s="329" t="str">
        <f>IF(A35=1,IF(C37="ano"," heteroskedasticita","  homoskedasticita"),"")</f>
        <v/>
      </c>
    </row>
    <row r="37" spans="1:14" ht="24.4" customHeight="1" thickBot="1" x14ac:dyDescent="0.3">
      <c r="A37" s="345">
        <f>1-F5</f>
        <v>0.95</v>
      </c>
      <c r="B37" s="149">
        <f ca="1">(A5-1)*C5^2/B35</f>
        <v>188.33333333333331</v>
      </c>
      <c r="C37" s="331" t="str">
        <f ca="1">IF(F37&lt;=F5,"ano","ne")</f>
        <v>ano</v>
      </c>
      <c r="D37" s="149">
        <f ca="1">IF(H33=1,H25,IF(H33=2,J25,I25))</f>
        <v>16.047071695364892</v>
      </c>
      <c r="E37" s="340">
        <f ca="1">IF(H33=1,K25,IF(H33=2,"",""))</f>
        <v>45.722285804174533</v>
      </c>
      <c r="F37" s="163">
        <f ca="1">IF(H33=1,2*MIN(CHIDIST(B37,G25),1-CHIDIST(B37,G25)),IF(H33=2,CHIDIST(B37,G25),1-CHIDIST(B37,G25)) )</f>
        <v>5.6942796526131324E-25</v>
      </c>
      <c r="G37" s="149" t="str">
        <f ca="1">IF(C37="ano","zamítá se","nezamítá se")</f>
        <v>zamítá se</v>
      </c>
      <c r="H37" s="332" t="str">
        <f ca="1">IF(C37="ano","se přijme","x")</f>
        <v>se přijme</v>
      </c>
    </row>
    <row r="38" spans="1:14" ht="24.4" customHeight="1" x14ac:dyDescent="0.25">
      <c r="A38" s="84"/>
      <c r="B38" s="84"/>
      <c r="C38" s="84"/>
      <c r="D38" s="84"/>
      <c r="E38" s="84"/>
      <c r="F38" s="84"/>
      <c r="G38" s="84"/>
      <c r="H38" s="84"/>
    </row>
    <row r="39" spans="1:14" ht="24.4" customHeight="1" x14ac:dyDescent="0.25">
      <c r="A39" s="84"/>
      <c r="B39" s="84"/>
      <c r="C39" s="84"/>
      <c r="D39" s="84"/>
      <c r="E39" s="84"/>
      <c r="F39" s="84"/>
      <c r="G39" s="84"/>
      <c r="H39" s="84"/>
    </row>
    <row r="40" spans="1:14" ht="24.4" customHeight="1" thickBot="1" x14ac:dyDescent="0.3">
      <c r="A40" s="346"/>
      <c r="B40" s="346"/>
      <c r="C40" s="346"/>
      <c r="D40" s="346"/>
      <c r="E40" s="346"/>
      <c r="F40" s="346"/>
      <c r="G40" s="346"/>
      <c r="H40" s="346"/>
      <c r="I40" s="346"/>
      <c r="J40" s="346"/>
      <c r="K40" s="346"/>
      <c r="L40" s="346"/>
      <c r="M40" s="346"/>
      <c r="N40" s="346"/>
    </row>
    <row r="42" spans="1:14" ht="24.4" customHeight="1" x14ac:dyDescent="0.25">
      <c r="A42" s="304" t="s">
        <v>183</v>
      </c>
    </row>
    <row r="43" spans="1:14" ht="24.4" customHeight="1" thickBot="1" x14ac:dyDescent="0.3">
      <c r="A43" s="184" t="s">
        <v>188</v>
      </c>
      <c r="J43" s="176" t="s">
        <v>185</v>
      </c>
      <c r="K43" s="176"/>
    </row>
    <row r="44" spans="1:14" ht="24.4" customHeight="1" x14ac:dyDescent="0.25">
      <c r="A44" s="143" t="s">
        <v>0</v>
      </c>
      <c r="B44" s="315"/>
      <c r="C44" s="321" t="s">
        <v>72</v>
      </c>
      <c r="D44" s="322" t="s">
        <v>166</v>
      </c>
      <c r="F44" s="180" t="s">
        <v>123</v>
      </c>
      <c r="J44" s="143" t="s">
        <v>186</v>
      </c>
      <c r="K44" s="326">
        <v>0.745</v>
      </c>
    </row>
    <row r="45" spans="1:14" ht="24.4" customHeight="1" thickBot="1" x14ac:dyDescent="0.3">
      <c r="A45" s="303">
        <v>15</v>
      </c>
      <c r="B45" s="320">
        <v>42.46</v>
      </c>
      <c r="C45" s="320">
        <v>0.86313399999999996</v>
      </c>
      <c r="D45" s="323">
        <f>C45^2</f>
        <v>0.74500030195599998</v>
      </c>
      <c r="F45" s="181">
        <v>0.05</v>
      </c>
      <c r="J45" s="325" t="s">
        <v>187</v>
      </c>
      <c r="K45" s="327">
        <f>SQRT(K44)</f>
        <v>0.86313382508160341</v>
      </c>
    </row>
    <row r="46" spans="1:14" ht="24.4" customHeight="1" x14ac:dyDescent="0.25">
      <c r="A46" s="157"/>
      <c r="B46" s="87"/>
      <c r="C46" s="87"/>
      <c r="D46" s="87"/>
      <c r="E46" s="158"/>
      <c r="F46" s="88"/>
      <c r="G46" s="88"/>
      <c r="H46" s="83"/>
      <c r="I46" s="81"/>
      <c r="J46" s="88"/>
      <c r="K46" s="88"/>
    </row>
    <row r="47" spans="1:14" ht="24.4" customHeight="1" thickBot="1" x14ac:dyDescent="0.3">
      <c r="A47" s="233" t="s">
        <v>170</v>
      </c>
      <c r="B47" s="284"/>
      <c r="C47" s="284"/>
      <c r="D47" s="84"/>
      <c r="E47" s="84"/>
      <c r="F47" s="285" t="s">
        <v>171</v>
      </c>
      <c r="G47" s="286"/>
      <c r="H47" s="84"/>
    </row>
    <row r="48" spans="1:14" ht="24.4" customHeight="1" x14ac:dyDescent="0.25">
      <c r="A48" s="145"/>
      <c r="B48" s="146"/>
      <c r="C48" s="146"/>
      <c r="D48" s="147" t="s">
        <v>50</v>
      </c>
      <c r="E48" s="84"/>
      <c r="F48" s="589" t="s">
        <v>105</v>
      </c>
      <c r="G48" s="590"/>
      <c r="H48" s="146" t="s">
        <v>13</v>
      </c>
      <c r="I48" s="151" t="s">
        <v>14</v>
      </c>
    </row>
    <row r="49" spans="1:11" ht="24.4" customHeight="1" thickBot="1" x14ac:dyDescent="0.3">
      <c r="A49" s="148">
        <f>B45</f>
        <v>42.46</v>
      </c>
      <c r="B49" s="149">
        <f>D45</f>
        <v>0.74500030195599998</v>
      </c>
      <c r="C49" s="149">
        <f>C45</f>
        <v>0.86313399999999996</v>
      </c>
      <c r="D49" s="150">
        <f>C45/SQRT(A45)</f>
        <v>0.22286024050302616</v>
      </c>
      <c r="E49" s="84"/>
      <c r="F49" s="591">
        <v>0.2</v>
      </c>
      <c r="G49" s="592"/>
      <c r="H49" s="152">
        <f>1-F45</f>
        <v>0.95</v>
      </c>
      <c r="I49" s="153">
        <f>INT(K53^2*C45^2/F49^2)+1</f>
        <v>86</v>
      </c>
    </row>
    <row r="50" spans="1:11" ht="24.4" customHeight="1" x14ac:dyDescent="0.25">
      <c r="A50" s="84"/>
      <c r="B50" s="84"/>
      <c r="C50" s="84"/>
      <c r="D50" s="84"/>
      <c r="E50" s="84"/>
    </row>
    <row r="51" spans="1:11" ht="24.4" customHeight="1" thickBot="1" x14ac:dyDescent="0.3">
      <c r="A51" s="234" t="s">
        <v>172</v>
      </c>
      <c r="B51" s="84"/>
      <c r="C51" s="84"/>
      <c r="D51" s="84"/>
      <c r="E51" s="84"/>
      <c r="F51" s="84"/>
      <c r="G51" s="84"/>
      <c r="H51" s="84"/>
      <c r="I51" s="287" t="s">
        <v>127</v>
      </c>
      <c r="J51" s="184"/>
    </row>
    <row r="52" spans="1:11" ht="24.4" customHeight="1" x14ac:dyDescent="0.25">
      <c r="A52" s="145" t="s">
        <v>13</v>
      </c>
      <c r="B52" s="587" t="s">
        <v>15</v>
      </c>
      <c r="C52" s="588"/>
      <c r="D52" s="159" t="s">
        <v>128</v>
      </c>
      <c r="E52" s="146" t="s">
        <v>16</v>
      </c>
      <c r="F52" s="146" t="s">
        <v>17</v>
      </c>
      <c r="G52" s="160" t="s">
        <v>128</v>
      </c>
      <c r="H52" s="84"/>
      <c r="I52" s="165" t="s">
        <v>125</v>
      </c>
      <c r="J52" s="166" t="s">
        <v>124</v>
      </c>
      <c r="K52" s="167" t="s">
        <v>126</v>
      </c>
    </row>
    <row r="53" spans="1:11" ht="24.4" customHeight="1" thickBot="1" x14ac:dyDescent="0.3">
      <c r="A53" s="161">
        <f>1-F45</f>
        <v>0.95</v>
      </c>
      <c r="B53" s="149">
        <f>B45-K53*C45/SQRT(A45)</f>
        <v>41.982012322902953</v>
      </c>
      <c r="C53" s="149">
        <f>B45+K53*C45/SQRT(A45)</f>
        <v>42.937987677097048</v>
      </c>
      <c r="D53" s="162">
        <f>K53*C45/SQRT(A45)</f>
        <v>0.47798767709705076</v>
      </c>
      <c r="E53" s="149">
        <f>B45-J53*C45/SQRT(A45)</f>
        <v>42.067473999540788</v>
      </c>
      <c r="F53" s="163">
        <f>B45+J53*C45/SQRT(A45)</f>
        <v>42.852526000459214</v>
      </c>
      <c r="G53" s="164">
        <f>J53*C45/SQRT(A45)</f>
        <v>0.39252600045921016</v>
      </c>
      <c r="H53" s="84"/>
      <c r="I53" s="168">
        <f>A45-1</f>
        <v>14</v>
      </c>
      <c r="J53" s="169">
        <f>TINV(2*F45,A45-1)</f>
        <v>1.7613101357748921</v>
      </c>
      <c r="K53" s="170">
        <f>TINV(F45,A45-1)</f>
        <v>2.1447866879178044</v>
      </c>
    </row>
    <row r="54" spans="1:11" ht="24.4" customHeight="1" x14ac:dyDescent="0.25">
      <c r="A54" s="85"/>
      <c r="B54" s="86"/>
      <c r="C54" s="86"/>
      <c r="D54" s="86"/>
      <c r="E54" s="86"/>
      <c r="F54" s="86"/>
      <c r="G54" s="86"/>
      <c r="H54" s="90"/>
      <c r="I54" s="88"/>
      <c r="J54" s="88"/>
      <c r="K54" s="88"/>
    </row>
    <row r="55" spans="1:11" ht="24.4" customHeight="1" x14ac:dyDescent="0.25">
      <c r="A55" s="235" t="s">
        <v>173</v>
      </c>
      <c r="B55" s="90"/>
      <c r="C55" s="90"/>
      <c r="D55" s="96"/>
      <c r="E55" s="90"/>
      <c r="F55" s="96"/>
      <c r="G55" s="96"/>
      <c r="H55" s="96"/>
      <c r="I55" s="81"/>
      <c r="J55" s="81"/>
      <c r="K55" s="81"/>
    </row>
    <row r="56" spans="1:11" ht="24.4" customHeight="1" x14ac:dyDescent="0.25">
      <c r="A56" s="234"/>
      <c r="B56" s="91"/>
      <c r="C56" s="91"/>
      <c r="D56" s="84"/>
      <c r="E56" s="91"/>
      <c r="F56" s="84"/>
      <c r="G56" s="84"/>
      <c r="H56" s="84"/>
      <c r="J56" s="81"/>
      <c r="K56" s="81"/>
    </row>
    <row r="57" spans="1:11" ht="24.4" customHeight="1" x14ac:dyDescent="0.25">
      <c r="A57" s="234"/>
      <c r="B57" s="91"/>
      <c r="C57" s="91"/>
      <c r="D57" s="84"/>
      <c r="E57" s="91"/>
      <c r="F57" s="84"/>
      <c r="G57" s="84"/>
      <c r="H57" s="353">
        <v>1</v>
      </c>
      <c r="J57" s="81"/>
      <c r="K57" s="81"/>
    </row>
    <row r="58" spans="1:11" ht="24.4" customHeight="1" thickBot="1" x14ac:dyDescent="0.3">
      <c r="A58" s="234"/>
      <c r="B58" s="91"/>
      <c r="C58" s="91"/>
      <c r="D58" s="84"/>
      <c r="E58" s="91"/>
      <c r="F58" s="84"/>
      <c r="G58" s="84"/>
      <c r="H58" s="84"/>
      <c r="I58" s="84"/>
      <c r="J58" s="81"/>
      <c r="K58" s="81"/>
    </row>
    <row r="59" spans="1:11" ht="24.4" customHeight="1" thickBot="1" x14ac:dyDescent="0.3">
      <c r="A59" s="174" t="s">
        <v>131</v>
      </c>
      <c r="B59" s="337">
        <v>42</v>
      </c>
      <c r="C59" s="335"/>
      <c r="D59" s="336"/>
      <c r="H59" s="84"/>
      <c r="I59" s="84"/>
      <c r="J59" s="81"/>
      <c r="K59" s="81"/>
    </row>
    <row r="60" spans="1:11" ht="24.4" customHeight="1" x14ac:dyDescent="0.25">
      <c r="A60" s="145" t="s">
        <v>18</v>
      </c>
      <c r="B60" s="173" t="s">
        <v>73</v>
      </c>
      <c r="C60" s="173" t="s">
        <v>194</v>
      </c>
      <c r="D60" s="173" t="s">
        <v>141</v>
      </c>
      <c r="E60" s="173" t="s">
        <v>86</v>
      </c>
      <c r="F60" s="146" t="s">
        <v>19</v>
      </c>
      <c r="G60" s="151" t="s">
        <v>20</v>
      </c>
      <c r="H60" s="84"/>
      <c r="I60" s="84"/>
      <c r="J60" s="81"/>
      <c r="K60" s="81"/>
    </row>
    <row r="61" spans="1:11" ht="24.4" customHeight="1" thickBot="1" x14ac:dyDescent="0.3">
      <c r="A61" s="333">
        <f>1-F45</f>
        <v>0.95</v>
      </c>
      <c r="B61" s="149">
        <f>(B45-B59)/C45*SQRT(A45)</f>
        <v>2.0640738741092521</v>
      </c>
      <c r="C61" s="331" t="str">
        <f>IF(E61&lt;=F45,"ano","ne")</f>
        <v>ne</v>
      </c>
      <c r="D61" s="149">
        <f>IF(H57=1,K53,IF(H57=2,J53,-J53))</f>
        <v>2.1447866879178044</v>
      </c>
      <c r="E61" s="149">
        <f>IF(H57=1,IF(B61&lt;0,2*MIN(1-TDIST(-B61,I53,1),TDIST(-B61,I53,1)),2*MIN(1-TDIST(B61,I53,1),TDIST(B61,I53,1))),IF(H57=2,IF(B61&lt;0,1-TDIST(-B61,I53,1),TDIST(B61,I53,1)),IF(B61&lt;0,TDIST(-B61,I53,1),1-TDIST(B61,I53,1))))</f>
        <v>5.805735930284233E-2</v>
      </c>
      <c r="F61" s="149" t="str">
        <f>IF(C61="ano","zamítá se","nezamítá se")</f>
        <v>nezamítá se</v>
      </c>
      <c r="G61" s="332" t="str">
        <f>IF(C61="ano","se přijme","x")</f>
        <v>x</v>
      </c>
      <c r="H61" s="90"/>
      <c r="I61" s="84"/>
      <c r="J61" s="81"/>
      <c r="K61" s="81"/>
    </row>
    <row r="62" spans="1:11" ht="24.4" customHeight="1" x14ac:dyDescent="0.25">
      <c r="A62" s="85"/>
      <c r="B62" s="89"/>
      <c r="C62" s="89"/>
      <c r="D62" s="90"/>
      <c r="E62" s="87"/>
      <c r="F62" s="86"/>
      <c r="G62" s="90"/>
      <c r="H62" s="90"/>
      <c r="I62" s="90"/>
    </row>
    <row r="63" spans="1:11" ht="24.4" customHeight="1" thickBot="1" x14ac:dyDescent="0.3">
      <c r="A63" s="234" t="s">
        <v>174</v>
      </c>
      <c r="B63" s="84"/>
      <c r="C63" s="84"/>
      <c r="D63" s="84"/>
      <c r="E63" s="84"/>
      <c r="F63" s="84"/>
      <c r="G63" s="176" t="s">
        <v>51</v>
      </c>
      <c r="J63" s="88"/>
      <c r="K63" s="88"/>
    </row>
    <row r="64" spans="1:11" ht="24.4" customHeight="1" x14ac:dyDescent="0.25">
      <c r="A64" s="145" t="s">
        <v>13</v>
      </c>
      <c r="B64" s="587" t="s">
        <v>15</v>
      </c>
      <c r="C64" s="588"/>
      <c r="D64" s="146" t="s">
        <v>16</v>
      </c>
      <c r="E64" s="151" t="s">
        <v>17</v>
      </c>
      <c r="F64" s="84"/>
      <c r="G64" s="165" t="s">
        <v>125</v>
      </c>
      <c r="H64" s="159" t="s">
        <v>132</v>
      </c>
      <c r="I64" s="159" t="s">
        <v>133</v>
      </c>
      <c r="J64" s="159" t="s">
        <v>134</v>
      </c>
      <c r="K64" s="160" t="s">
        <v>135</v>
      </c>
    </row>
    <row r="65" spans="1:11" ht="24.4" customHeight="1" thickBot="1" x14ac:dyDescent="0.3">
      <c r="A65" s="161">
        <f>1-F45</f>
        <v>0.95</v>
      </c>
      <c r="B65" s="149">
        <f>(A45-1)*C45^2/K65</f>
        <v>0.39932711721005593</v>
      </c>
      <c r="C65" s="149">
        <f>(A45-1)*C45^2/H65</f>
        <v>1.8529955155841373</v>
      </c>
      <c r="D65" s="149">
        <f>(A45-1)*C45^2/J65</f>
        <v>0.44036715768960005</v>
      </c>
      <c r="E65" s="150">
        <f>(A45-1)*C45^2/I65</f>
        <v>1.5873671216918763</v>
      </c>
      <c r="F65" s="84"/>
      <c r="G65" s="168">
        <f>A45-1</f>
        <v>14</v>
      </c>
      <c r="H65" s="177">
        <f>CHIINV(1-F45/2,G65)</f>
        <v>5.6287261030397318</v>
      </c>
      <c r="I65" s="177">
        <f>CHIINV(1-F45,G65)</f>
        <v>6.5706313837893431</v>
      </c>
      <c r="J65" s="177">
        <f>CHIINV(F45,G65)</f>
        <v>23.68479130484058</v>
      </c>
      <c r="K65" s="178">
        <f>CHIINV(F45/2,G65)</f>
        <v>26.118948045037371</v>
      </c>
    </row>
    <row r="66" spans="1:11" ht="24.4" customHeight="1" x14ac:dyDescent="0.25">
      <c r="A66" s="85"/>
      <c r="B66" s="86"/>
      <c r="C66" s="86"/>
      <c r="D66" s="86"/>
      <c r="E66" s="86"/>
      <c r="F66" s="84"/>
    </row>
    <row r="67" spans="1:11" ht="24.4" customHeight="1" thickBot="1" x14ac:dyDescent="0.3">
      <c r="A67" s="234" t="s">
        <v>175</v>
      </c>
      <c r="B67" s="84"/>
      <c r="C67" s="84"/>
      <c r="D67" s="84"/>
      <c r="E67" s="84"/>
      <c r="F67" s="84"/>
      <c r="G67" s="91"/>
      <c r="H67" s="81"/>
      <c r="I67" s="81"/>
      <c r="J67" s="81"/>
      <c r="K67" s="81"/>
    </row>
    <row r="68" spans="1:11" ht="24.4" customHeight="1" x14ac:dyDescent="0.25">
      <c r="A68" s="145" t="s">
        <v>13</v>
      </c>
      <c r="B68" s="587" t="s">
        <v>15</v>
      </c>
      <c r="C68" s="588"/>
      <c r="D68" s="146" t="s">
        <v>16</v>
      </c>
      <c r="E68" s="151" t="s">
        <v>17</v>
      </c>
      <c r="F68" s="84"/>
      <c r="G68" s="91"/>
      <c r="H68" s="92"/>
      <c r="I68" s="92"/>
      <c r="J68" s="92"/>
      <c r="K68" s="92"/>
    </row>
    <row r="69" spans="1:11" ht="24.4" customHeight="1" thickBot="1" x14ac:dyDescent="0.3">
      <c r="A69" s="161">
        <f>A65</f>
        <v>0.95</v>
      </c>
      <c r="B69" s="149">
        <f>SQRT(B65)</f>
        <v>0.63192334757473234</v>
      </c>
      <c r="C69" s="149">
        <f>SQRT(C65)</f>
        <v>1.3612477789087987</v>
      </c>
      <c r="D69" s="149">
        <f>SQRT(D65)</f>
        <v>0.66360165588220166</v>
      </c>
      <c r="E69" s="150">
        <f>SQRT(E65)</f>
        <v>1.2599075845838361</v>
      </c>
      <c r="F69" s="84"/>
      <c r="G69" s="80"/>
      <c r="H69" s="80"/>
      <c r="I69" s="80"/>
      <c r="J69" s="80"/>
      <c r="K69" s="80"/>
    </row>
    <row r="70" spans="1:11" ht="24.4" customHeight="1" x14ac:dyDescent="0.25">
      <c r="A70" s="93"/>
      <c r="B70" s="86"/>
      <c r="C70" s="86"/>
      <c r="D70" s="86"/>
      <c r="E70" s="86"/>
      <c r="F70" s="96"/>
      <c r="G70" s="80"/>
      <c r="H70" s="80"/>
      <c r="I70" s="80"/>
      <c r="J70" s="80"/>
      <c r="K70" s="80"/>
    </row>
    <row r="71" spans="1:11" ht="24.4" customHeight="1" x14ac:dyDescent="0.25">
      <c r="A71" s="234" t="s">
        <v>176</v>
      </c>
      <c r="B71" s="84"/>
      <c r="C71" s="91"/>
      <c r="D71" s="84"/>
      <c r="E71" s="91"/>
      <c r="F71" s="91"/>
    </row>
    <row r="72" spans="1:11" ht="24.4" customHeight="1" x14ac:dyDescent="0.25">
      <c r="A72" s="234"/>
      <c r="B72" s="91"/>
      <c r="C72" s="91"/>
      <c r="D72" s="84"/>
      <c r="E72" s="91"/>
      <c r="F72" s="84"/>
      <c r="G72" s="84"/>
      <c r="H72" s="84"/>
    </row>
    <row r="73" spans="1:11" ht="24.4" customHeight="1" x14ac:dyDescent="0.25">
      <c r="A73" s="234"/>
      <c r="B73" s="91"/>
      <c r="C73" s="91"/>
      <c r="D73" s="84"/>
      <c r="E73" s="91"/>
      <c r="F73" s="84"/>
      <c r="G73" s="84"/>
      <c r="H73" s="353">
        <v>1</v>
      </c>
    </row>
    <row r="74" spans="1:11" ht="24.4" customHeight="1" thickBot="1" x14ac:dyDescent="0.3">
      <c r="A74" s="234"/>
      <c r="B74" s="91"/>
      <c r="C74" s="91"/>
      <c r="D74" s="84"/>
      <c r="E74" s="91"/>
      <c r="F74" s="84"/>
      <c r="G74" s="84"/>
      <c r="H74" s="84"/>
      <c r="I74" s="84"/>
    </row>
    <row r="75" spans="1:11" ht="24.4" customHeight="1" thickBot="1" x14ac:dyDescent="0.3">
      <c r="A75" s="179"/>
      <c r="B75" s="339">
        <v>0.74</v>
      </c>
      <c r="C75" s="334"/>
      <c r="D75" s="338"/>
      <c r="I75" s="84"/>
    </row>
    <row r="76" spans="1:11" ht="24.4" customHeight="1" x14ac:dyDescent="0.25">
      <c r="A76" s="145" t="s">
        <v>18</v>
      </c>
      <c r="B76" s="173" t="s">
        <v>193</v>
      </c>
      <c r="C76" s="173" t="s">
        <v>195</v>
      </c>
      <c r="D76" s="585" t="s">
        <v>90</v>
      </c>
      <c r="E76" s="586"/>
      <c r="F76" s="173" t="s">
        <v>86</v>
      </c>
      <c r="G76" s="146" t="s">
        <v>19</v>
      </c>
      <c r="H76" s="151" t="s">
        <v>20</v>
      </c>
      <c r="I76" s="329" t="str">
        <f>IF(A75=1,IF(C77="ano"," heteroskedasticita","  homoskedasticita"),"")</f>
        <v/>
      </c>
    </row>
    <row r="77" spans="1:11" ht="24.4" customHeight="1" thickBot="1" x14ac:dyDescent="0.3">
      <c r="A77" s="330">
        <f>1-F45</f>
        <v>0.95</v>
      </c>
      <c r="B77" s="149">
        <f>(A45-1)*C45^2/B75</f>
        <v>14.094600307275675</v>
      </c>
      <c r="C77" s="331" t="str">
        <f>IF(F77&lt;=F45,"ano","ne")</f>
        <v>ne</v>
      </c>
      <c r="D77" s="149">
        <f>IF(H73=1,H65,IF(H73=2,J65,I65))</f>
        <v>5.6287261030397318</v>
      </c>
      <c r="E77" s="340">
        <f>IF(H73=1,K65,IF(H73=2,"",""))</f>
        <v>26.118948045037371</v>
      </c>
      <c r="F77" s="163">
        <f>IF(H73=1,2*MIN(CHIDIST(B77,G65),1-CHIDIST(B77,G65)),IF(H73=2,CHIDIST(B77,G65),1-CHIDIST(B77,G65)) )</f>
        <v>0.88537455754996897</v>
      </c>
      <c r="G77" s="149" t="str">
        <f>IF(C77="ano","zamítá se","nezamítá se")</f>
        <v>nezamítá se</v>
      </c>
      <c r="H77" s="332" t="str">
        <f>IF(C77="ano","se přijme","x")</f>
        <v>x</v>
      </c>
    </row>
  </sheetData>
  <sheetProtection password="DBEF" sheet="1" objects="1" scenarios="1" formatCells="0"/>
  <mergeCells count="12">
    <mergeCell ref="B24:C24"/>
    <mergeCell ref="B28:C28"/>
    <mergeCell ref="F48:G48"/>
    <mergeCell ref="F49:G49"/>
    <mergeCell ref="F8:G8"/>
    <mergeCell ref="F9:G9"/>
    <mergeCell ref="B12:C12"/>
    <mergeCell ref="D76:E76"/>
    <mergeCell ref="B52:C52"/>
    <mergeCell ref="B64:C64"/>
    <mergeCell ref="B68:C68"/>
    <mergeCell ref="D36:E36"/>
  </mergeCells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scale="85" fitToWidth="2" orientation="portrait" horizontalDpi="180" verticalDpi="180" r:id="rId1"/>
  <headerFooter alignWithMargins="0">
    <oddHeader xml:space="preserve">&amp;C&amp;11Zpracování výběrového šetření 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6145" r:id="rId4">
          <objectPr defaultSize="0" autoLine="0" r:id="rId5">
            <anchor moveWithCells="1">
              <from>
                <xdr:col>1</xdr:col>
                <xdr:colOff>323850</xdr:colOff>
                <xdr:row>3</xdr:row>
                <xdr:rowOff>88900</xdr:rowOff>
              </from>
              <to>
                <xdr:col>1</xdr:col>
                <xdr:colOff>450850</xdr:colOff>
                <xdr:row>3</xdr:row>
                <xdr:rowOff>241300</xdr:rowOff>
              </to>
            </anchor>
          </objectPr>
        </oleObject>
      </mc:Choice>
      <mc:Fallback>
        <oleObject progId="Equation.2" shapeId="6145" r:id="rId4"/>
      </mc:Fallback>
    </mc:AlternateContent>
    <mc:AlternateContent xmlns:mc="http://schemas.openxmlformats.org/markup-compatibility/2006">
      <mc:Choice Requires="x14">
        <oleObject progId="Equation.2" shapeId="6156" r:id="rId6">
          <objectPr defaultSize="0" autoLine="0" r:id="rId7">
            <anchor moveWithCells="1">
              <from>
                <xdr:col>6</xdr:col>
                <xdr:colOff>457200</xdr:colOff>
                <xdr:row>22</xdr:row>
                <xdr:rowOff>50800</xdr:rowOff>
              </from>
              <to>
                <xdr:col>7</xdr:col>
                <xdr:colOff>146050</xdr:colOff>
                <xdr:row>22</xdr:row>
                <xdr:rowOff>285750</xdr:rowOff>
              </to>
            </anchor>
          </objectPr>
        </oleObject>
      </mc:Choice>
      <mc:Fallback>
        <oleObject progId="Equation.2" shapeId="6156" r:id="rId6"/>
      </mc:Fallback>
    </mc:AlternateContent>
    <mc:AlternateContent xmlns:mc="http://schemas.openxmlformats.org/markup-compatibility/2006">
      <mc:Choice Requires="x14">
        <oleObject progId="Equation.2" shapeId="6157" r:id="rId8">
          <objectPr defaultSize="0" autoLine="0" r:id="rId9">
            <anchor moveWithCells="1">
              <from>
                <xdr:col>0</xdr:col>
                <xdr:colOff>304800</xdr:colOff>
                <xdr:row>7</xdr:row>
                <xdr:rowOff>57150</xdr:rowOff>
              </from>
              <to>
                <xdr:col>0</xdr:col>
                <xdr:colOff>450850</xdr:colOff>
                <xdr:row>7</xdr:row>
                <xdr:rowOff>279400</xdr:rowOff>
              </to>
            </anchor>
          </objectPr>
        </oleObject>
      </mc:Choice>
      <mc:Fallback>
        <oleObject progId="Equation.2" shapeId="6157" r:id="rId8"/>
      </mc:Fallback>
    </mc:AlternateContent>
    <mc:AlternateContent xmlns:mc="http://schemas.openxmlformats.org/markup-compatibility/2006">
      <mc:Choice Requires="x14">
        <oleObject progId="Equation.2" shapeId="6158" r:id="rId10">
          <objectPr defaultSize="0" autoLine="0" r:id="rId11">
            <anchor moveWithCells="1">
              <from>
                <xdr:col>1</xdr:col>
                <xdr:colOff>304800</xdr:colOff>
                <xdr:row>7</xdr:row>
                <xdr:rowOff>76200</xdr:rowOff>
              </from>
              <to>
                <xdr:col>1</xdr:col>
                <xdr:colOff>508000</xdr:colOff>
                <xdr:row>7</xdr:row>
                <xdr:rowOff>266700</xdr:rowOff>
              </to>
            </anchor>
          </objectPr>
        </oleObject>
      </mc:Choice>
      <mc:Fallback>
        <oleObject progId="Equation.2" shapeId="6158" r:id="rId10"/>
      </mc:Fallback>
    </mc:AlternateContent>
    <mc:AlternateContent xmlns:mc="http://schemas.openxmlformats.org/markup-compatibility/2006">
      <mc:Choice Requires="x14">
        <oleObject progId="Equation.2" shapeId="6159" r:id="rId12">
          <objectPr defaultSize="0" autoLine="0" r:id="rId13">
            <anchor moveWithCells="1">
              <from>
                <xdr:col>2</xdr:col>
                <xdr:colOff>304800</xdr:colOff>
                <xdr:row>7</xdr:row>
                <xdr:rowOff>69850</xdr:rowOff>
              </from>
              <to>
                <xdr:col>2</xdr:col>
                <xdr:colOff>450850</xdr:colOff>
                <xdr:row>7</xdr:row>
                <xdr:rowOff>260350</xdr:rowOff>
              </to>
            </anchor>
          </objectPr>
        </oleObject>
      </mc:Choice>
      <mc:Fallback>
        <oleObject progId="Equation.2" shapeId="6159" r:id="rId12"/>
      </mc:Fallback>
    </mc:AlternateContent>
    <mc:AlternateContent xmlns:mc="http://schemas.openxmlformats.org/markup-compatibility/2006">
      <mc:Choice Requires="x14">
        <oleObject progId="Equation.2" shapeId="6160" r:id="rId14">
          <objectPr defaultSize="0" autoLine="0" r:id="rId15">
            <anchor moveWithCells="1">
              <from>
                <xdr:col>0</xdr:col>
                <xdr:colOff>361950</xdr:colOff>
                <xdr:row>34</xdr:row>
                <xdr:rowOff>50800</xdr:rowOff>
              </from>
              <to>
                <xdr:col>0</xdr:col>
                <xdr:colOff>704850</xdr:colOff>
                <xdr:row>34</xdr:row>
                <xdr:rowOff>285750</xdr:rowOff>
              </to>
            </anchor>
          </objectPr>
        </oleObject>
      </mc:Choice>
      <mc:Fallback>
        <oleObject progId="Equation.2" shapeId="6160" r:id="rId14"/>
      </mc:Fallback>
    </mc:AlternateContent>
    <mc:AlternateContent xmlns:mc="http://schemas.openxmlformats.org/markup-compatibility/2006">
      <mc:Choice Requires="x14">
        <oleObject progId="Equation.2" shapeId="6175" r:id="rId16">
          <objectPr defaultSize="0" autoLine="0" r:id="rId5">
            <anchor moveWithCells="1">
              <from>
                <xdr:col>1</xdr:col>
                <xdr:colOff>323850</xdr:colOff>
                <xdr:row>43</xdr:row>
                <xdr:rowOff>88900</xdr:rowOff>
              </from>
              <to>
                <xdr:col>1</xdr:col>
                <xdr:colOff>450850</xdr:colOff>
                <xdr:row>43</xdr:row>
                <xdr:rowOff>241300</xdr:rowOff>
              </to>
            </anchor>
          </objectPr>
        </oleObject>
      </mc:Choice>
      <mc:Fallback>
        <oleObject progId="Equation.2" shapeId="6175" r:id="rId16"/>
      </mc:Fallback>
    </mc:AlternateContent>
    <mc:AlternateContent xmlns:mc="http://schemas.openxmlformats.org/markup-compatibility/2006">
      <mc:Choice Requires="x14">
        <oleObject progId="Equation.2" shapeId="6176" r:id="rId17">
          <objectPr defaultSize="0" autoLine="0" r:id="rId7">
            <anchor moveWithCells="1">
              <from>
                <xdr:col>6</xdr:col>
                <xdr:colOff>457200</xdr:colOff>
                <xdr:row>62</xdr:row>
                <xdr:rowOff>50800</xdr:rowOff>
              </from>
              <to>
                <xdr:col>7</xdr:col>
                <xdr:colOff>146050</xdr:colOff>
                <xdr:row>62</xdr:row>
                <xdr:rowOff>285750</xdr:rowOff>
              </to>
            </anchor>
          </objectPr>
        </oleObject>
      </mc:Choice>
      <mc:Fallback>
        <oleObject progId="Equation.2" shapeId="6176" r:id="rId17"/>
      </mc:Fallback>
    </mc:AlternateContent>
    <mc:AlternateContent xmlns:mc="http://schemas.openxmlformats.org/markup-compatibility/2006">
      <mc:Choice Requires="x14">
        <oleObject progId="Equation.2" shapeId="6177" r:id="rId18">
          <objectPr defaultSize="0" autoLine="0" r:id="rId9">
            <anchor moveWithCells="1">
              <from>
                <xdr:col>0</xdr:col>
                <xdr:colOff>304800</xdr:colOff>
                <xdr:row>47</xdr:row>
                <xdr:rowOff>57150</xdr:rowOff>
              </from>
              <to>
                <xdr:col>0</xdr:col>
                <xdr:colOff>450850</xdr:colOff>
                <xdr:row>47</xdr:row>
                <xdr:rowOff>279400</xdr:rowOff>
              </to>
            </anchor>
          </objectPr>
        </oleObject>
      </mc:Choice>
      <mc:Fallback>
        <oleObject progId="Equation.2" shapeId="6177" r:id="rId18"/>
      </mc:Fallback>
    </mc:AlternateContent>
    <mc:AlternateContent xmlns:mc="http://schemas.openxmlformats.org/markup-compatibility/2006">
      <mc:Choice Requires="x14">
        <oleObject progId="Equation.2" shapeId="6178" r:id="rId19">
          <objectPr defaultSize="0" autoLine="0" r:id="rId11">
            <anchor moveWithCells="1">
              <from>
                <xdr:col>1</xdr:col>
                <xdr:colOff>304800</xdr:colOff>
                <xdr:row>47</xdr:row>
                <xdr:rowOff>76200</xdr:rowOff>
              </from>
              <to>
                <xdr:col>1</xdr:col>
                <xdr:colOff>508000</xdr:colOff>
                <xdr:row>47</xdr:row>
                <xdr:rowOff>266700</xdr:rowOff>
              </to>
            </anchor>
          </objectPr>
        </oleObject>
      </mc:Choice>
      <mc:Fallback>
        <oleObject progId="Equation.2" shapeId="6178" r:id="rId19"/>
      </mc:Fallback>
    </mc:AlternateContent>
    <mc:AlternateContent xmlns:mc="http://schemas.openxmlformats.org/markup-compatibility/2006">
      <mc:Choice Requires="x14">
        <oleObject progId="Equation.2" shapeId="6179" r:id="rId20">
          <objectPr defaultSize="0" autoLine="0" r:id="rId13">
            <anchor moveWithCells="1">
              <from>
                <xdr:col>2</xdr:col>
                <xdr:colOff>304800</xdr:colOff>
                <xdr:row>47</xdr:row>
                <xdr:rowOff>69850</xdr:rowOff>
              </from>
              <to>
                <xdr:col>2</xdr:col>
                <xdr:colOff>450850</xdr:colOff>
                <xdr:row>47</xdr:row>
                <xdr:rowOff>260350</xdr:rowOff>
              </to>
            </anchor>
          </objectPr>
        </oleObject>
      </mc:Choice>
      <mc:Fallback>
        <oleObject progId="Equation.2" shapeId="6179" r:id="rId20"/>
      </mc:Fallback>
    </mc:AlternateContent>
    <mc:AlternateContent xmlns:mc="http://schemas.openxmlformats.org/markup-compatibility/2006">
      <mc:Choice Requires="x14">
        <oleObject progId="Equation.3" shapeId="6210" r:id="rId21">
          <objectPr defaultSize="0" autoLine="0" r:id="rId22">
            <anchor moveWithCells="1">
              <from>
                <xdr:col>3</xdr:col>
                <xdr:colOff>69850</xdr:colOff>
                <xdr:row>16</xdr:row>
                <xdr:rowOff>50800</xdr:rowOff>
              </from>
              <to>
                <xdr:col>3</xdr:col>
                <xdr:colOff>488950</xdr:colOff>
                <xdr:row>16</xdr:row>
                <xdr:rowOff>266700</xdr:rowOff>
              </to>
            </anchor>
          </objectPr>
        </oleObject>
      </mc:Choice>
      <mc:Fallback>
        <oleObject progId="Equation.3" shapeId="6210" r:id="rId21"/>
      </mc:Fallback>
    </mc:AlternateContent>
    <mc:AlternateContent xmlns:mc="http://schemas.openxmlformats.org/markup-compatibility/2006">
      <mc:Choice Requires="x14">
        <oleObject progId="Equation.3" shapeId="6211" r:id="rId23">
          <objectPr defaultSize="0" autoLine="0" r:id="rId24">
            <anchor moveWithCells="1">
              <from>
                <xdr:col>4</xdr:col>
                <xdr:colOff>381000</xdr:colOff>
                <xdr:row>16</xdr:row>
                <xdr:rowOff>50800</xdr:rowOff>
              </from>
              <to>
                <xdr:col>5</xdr:col>
                <xdr:colOff>69850</xdr:colOff>
                <xdr:row>16</xdr:row>
                <xdr:rowOff>260350</xdr:rowOff>
              </to>
            </anchor>
          </objectPr>
        </oleObject>
      </mc:Choice>
      <mc:Fallback>
        <oleObject progId="Equation.3" shapeId="6211" r:id="rId23"/>
      </mc:Fallback>
    </mc:AlternateContent>
    <mc:AlternateContent xmlns:mc="http://schemas.openxmlformats.org/markup-compatibility/2006">
      <mc:Choice Requires="x14">
        <oleObject progId="Equation.3" shapeId="6212" r:id="rId25">
          <objectPr defaultSize="0" autoLine="0" r:id="rId26">
            <anchor moveWithCells="1">
              <from>
                <xdr:col>6</xdr:col>
                <xdr:colOff>38100</xdr:colOff>
                <xdr:row>16</xdr:row>
                <xdr:rowOff>50800</xdr:rowOff>
              </from>
              <to>
                <xdr:col>6</xdr:col>
                <xdr:colOff>457200</xdr:colOff>
                <xdr:row>16</xdr:row>
                <xdr:rowOff>266700</xdr:rowOff>
              </to>
            </anchor>
          </objectPr>
        </oleObject>
      </mc:Choice>
      <mc:Fallback>
        <oleObject progId="Equation.3" shapeId="6212" r:id="rId25"/>
      </mc:Fallback>
    </mc:AlternateContent>
    <mc:AlternateContent xmlns:mc="http://schemas.openxmlformats.org/markup-compatibility/2006">
      <mc:Choice Requires="x14">
        <oleObject progId="Equation.3" shapeId="6217" r:id="rId27">
          <objectPr defaultSize="0" autoLine="0" r:id="rId28">
            <anchor moveWithCells="1">
              <from>
                <xdr:col>0</xdr:col>
                <xdr:colOff>533400</xdr:colOff>
                <xdr:row>32</xdr:row>
                <xdr:rowOff>50800</xdr:rowOff>
              </from>
              <to>
                <xdr:col>1</xdr:col>
                <xdr:colOff>285750</xdr:colOff>
                <xdr:row>32</xdr:row>
                <xdr:rowOff>279400</xdr:rowOff>
              </to>
            </anchor>
          </objectPr>
        </oleObject>
      </mc:Choice>
      <mc:Fallback>
        <oleObject progId="Equation.3" shapeId="6217" r:id="rId27"/>
      </mc:Fallback>
    </mc:AlternateContent>
    <mc:AlternateContent xmlns:mc="http://schemas.openxmlformats.org/markup-compatibility/2006">
      <mc:Choice Requires="x14">
        <oleObject progId="Equation.3" shapeId="6218" r:id="rId29">
          <objectPr defaultSize="0" autoLine="0" r:id="rId30">
            <anchor moveWithCells="1">
              <from>
                <xdr:col>4</xdr:col>
                <xdr:colOff>419100</xdr:colOff>
                <xdr:row>32</xdr:row>
                <xdr:rowOff>19050</xdr:rowOff>
              </from>
              <to>
                <xdr:col>5</xdr:col>
                <xdr:colOff>171450</xdr:colOff>
                <xdr:row>32</xdr:row>
                <xdr:rowOff>260350</xdr:rowOff>
              </to>
            </anchor>
          </objectPr>
        </oleObject>
      </mc:Choice>
      <mc:Fallback>
        <oleObject progId="Equation.3" shapeId="6218" r:id="rId29"/>
      </mc:Fallback>
    </mc:AlternateContent>
    <mc:AlternateContent xmlns:mc="http://schemas.openxmlformats.org/markup-compatibility/2006">
      <mc:Choice Requires="x14">
        <oleObject progId="Equation.3" shapeId="6219" r:id="rId31">
          <objectPr defaultSize="0" autoLine="0" r:id="rId32">
            <anchor moveWithCells="1">
              <from>
                <xdr:col>6</xdr:col>
                <xdr:colOff>38100</xdr:colOff>
                <xdr:row>32</xdr:row>
                <xdr:rowOff>31750</xdr:rowOff>
              </from>
              <to>
                <xdr:col>6</xdr:col>
                <xdr:colOff>527050</xdr:colOff>
                <xdr:row>32</xdr:row>
                <xdr:rowOff>266700</xdr:rowOff>
              </to>
            </anchor>
          </objectPr>
        </oleObject>
      </mc:Choice>
      <mc:Fallback>
        <oleObject progId="Equation.3" shapeId="6219" r:id="rId31"/>
      </mc:Fallback>
    </mc:AlternateContent>
    <mc:AlternateContent xmlns:mc="http://schemas.openxmlformats.org/markup-compatibility/2006">
      <mc:Choice Requires="x14">
        <oleObject progId="Equation.3" shapeId="6220" r:id="rId33">
          <objectPr defaultSize="0" autoLine="0" r:id="rId34">
            <anchor moveWithCells="1">
              <from>
                <xdr:col>3</xdr:col>
                <xdr:colOff>95250</xdr:colOff>
                <xdr:row>32</xdr:row>
                <xdr:rowOff>12700</xdr:rowOff>
              </from>
              <to>
                <xdr:col>3</xdr:col>
                <xdr:colOff>590550</xdr:colOff>
                <xdr:row>32</xdr:row>
                <xdr:rowOff>247650</xdr:rowOff>
              </to>
            </anchor>
          </objectPr>
        </oleObject>
      </mc:Choice>
      <mc:Fallback>
        <oleObject progId="Equation.3" shapeId="6220" r:id="rId33"/>
      </mc:Fallback>
    </mc:AlternateContent>
    <mc:AlternateContent xmlns:mc="http://schemas.openxmlformats.org/markup-compatibility/2006">
      <mc:Choice Requires="x14">
        <oleObject progId="Equation.2" shapeId="6238" r:id="rId35">
          <objectPr defaultSize="0" autoLine="0" r:id="rId15">
            <anchor moveWithCells="1">
              <from>
                <xdr:col>0</xdr:col>
                <xdr:colOff>361950</xdr:colOff>
                <xdr:row>74</xdr:row>
                <xdr:rowOff>50800</xdr:rowOff>
              </from>
              <to>
                <xdr:col>0</xdr:col>
                <xdr:colOff>704850</xdr:colOff>
                <xdr:row>74</xdr:row>
                <xdr:rowOff>285750</xdr:rowOff>
              </to>
            </anchor>
          </objectPr>
        </oleObject>
      </mc:Choice>
      <mc:Fallback>
        <oleObject progId="Equation.2" shapeId="6238" r:id="rId35"/>
      </mc:Fallback>
    </mc:AlternateContent>
    <mc:AlternateContent xmlns:mc="http://schemas.openxmlformats.org/markup-compatibility/2006">
      <mc:Choice Requires="x14">
        <oleObject progId="Equation.3" shapeId="6239" r:id="rId36">
          <objectPr defaultSize="0" autoLine="0" r:id="rId37">
            <anchor moveWithCells="1">
              <from>
                <xdr:col>0</xdr:col>
                <xdr:colOff>527050</xdr:colOff>
                <xdr:row>72</xdr:row>
                <xdr:rowOff>50800</xdr:rowOff>
              </from>
              <to>
                <xdr:col>1</xdr:col>
                <xdr:colOff>285750</xdr:colOff>
                <xdr:row>72</xdr:row>
                <xdr:rowOff>285750</xdr:rowOff>
              </to>
            </anchor>
          </objectPr>
        </oleObject>
      </mc:Choice>
      <mc:Fallback>
        <oleObject progId="Equation.3" shapeId="6239" r:id="rId36"/>
      </mc:Fallback>
    </mc:AlternateContent>
    <mc:AlternateContent xmlns:mc="http://schemas.openxmlformats.org/markup-compatibility/2006">
      <mc:Choice Requires="x14">
        <oleObject progId="Equation.3" shapeId="6253" r:id="rId38">
          <objectPr defaultSize="0" autoLine="0" r:id="rId39">
            <anchor moveWithCells="1">
              <from>
                <xdr:col>0</xdr:col>
                <xdr:colOff>584200</xdr:colOff>
                <xdr:row>56</xdr:row>
                <xdr:rowOff>31750</xdr:rowOff>
              </from>
              <to>
                <xdr:col>1</xdr:col>
                <xdr:colOff>266700</xdr:colOff>
                <xdr:row>56</xdr:row>
                <xdr:rowOff>247650</xdr:rowOff>
              </to>
            </anchor>
          </objectPr>
        </oleObject>
      </mc:Choice>
      <mc:Fallback>
        <oleObject progId="Equation.3" shapeId="6253" r:id="rId38"/>
      </mc:Fallback>
    </mc:AlternateContent>
    <mc:AlternateContent xmlns:mc="http://schemas.openxmlformats.org/markup-compatibility/2006">
      <mc:Choice Requires="x14">
        <oleObject progId="Equation.3" shapeId="6254" r:id="rId40">
          <objectPr defaultSize="0" autoLine="0" r:id="rId39">
            <anchor moveWithCells="1">
              <from>
                <xdr:col>0</xdr:col>
                <xdr:colOff>584200</xdr:colOff>
                <xdr:row>16</xdr:row>
                <xdr:rowOff>50800</xdr:rowOff>
              </from>
              <to>
                <xdr:col>1</xdr:col>
                <xdr:colOff>266700</xdr:colOff>
                <xdr:row>16</xdr:row>
                <xdr:rowOff>260350</xdr:rowOff>
              </to>
            </anchor>
          </objectPr>
        </oleObject>
      </mc:Choice>
      <mc:Fallback>
        <oleObject progId="Equation.3" shapeId="6254" r:id="rId40"/>
      </mc:Fallback>
    </mc:AlternateContent>
    <mc:AlternateContent xmlns:mc="http://schemas.openxmlformats.org/markup-compatibility/2006">
      <mc:Choice Requires="x14">
        <oleObject progId="Equation.3" shapeId="6260" r:id="rId41">
          <objectPr defaultSize="0" autoLine="0" r:id="rId42">
            <anchor moveWithCells="1">
              <from>
                <xdr:col>3</xdr:col>
                <xdr:colOff>69850</xdr:colOff>
                <xdr:row>56</xdr:row>
                <xdr:rowOff>50800</xdr:rowOff>
              </from>
              <to>
                <xdr:col>3</xdr:col>
                <xdr:colOff>488950</xdr:colOff>
                <xdr:row>56</xdr:row>
                <xdr:rowOff>266700</xdr:rowOff>
              </to>
            </anchor>
          </objectPr>
        </oleObject>
      </mc:Choice>
      <mc:Fallback>
        <oleObject progId="Equation.3" shapeId="6260" r:id="rId41"/>
      </mc:Fallback>
    </mc:AlternateContent>
    <mc:AlternateContent xmlns:mc="http://schemas.openxmlformats.org/markup-compatibility/2006">
      <mc:Choice Requires="x14">
        <oleObject progId="Equation.3" shapeId="6261" r:id="rId43">
          <objectPr defaultSize="0" autoLine="0" r:id="rId24">
            <anchor moveWithCells="1">
              <from>
                <xdr:col>4</xdr:col>
                <xdr:colOff>381000</xdr:colOff>
                <xdr:row>56</xdr:row>
                <xdr:rowOff>50800</xdr:rowOff>
              </from>
              <to>
                <xdr:col>5</xdr:col>
                <xdr:colOff>69850</xdr:colOff>
                <xdr:row>56</xdr:row>
                <xdr:rowOff>266700</xdr:rowOff>
              </to>
            </anchor>
          </objectPr>
        </oleObject>
      </mc:Choice>
      <mc:Fallback>
        <oleObject progId="Equation.3" shapeId="6261" r:id="rId43"/>
      </mc:Fallback>
    </mc:AlternateContent>
    <mc:AlternateContent xmlns:mc="http://schemas.openxmlformats.org/markup-compatibility/2006">
      <mc:Choice Requires="x14">
        <oleObject progId="Equation.3" shapeId="6262" r:id="rId44">
          <objectPr defaultSize="0" autoLine="0" r:id="rId26">
            <anchor moveWithCells="1">
              <from>
                <xdr:col>6</xdr:col>
                <xdr:colOff>38100</xdr:colOff>
                <xdr:row>56</xdr:row>
                <xdr:rowOff>50800</xdr:rowOff>
              </from>
              <to>
                <xdr:col>6</xdr:col>
                <xdr:colOff>457200</xdr:colOff>
                <xdr:row>56</xdr:row>
                <xdr:rowOff>266700</xdr:rowOff>
              </to>
            </anchor>
          </objectPr>
        </oleObject>
      </mc:Choice>
      <mc:Fallback>
        <oleObject progId="Equation.3" shapeId="6262" r:id="rId44"/>
      </mc:Fallback>
    </mc:AlternateContent>
    <mc:AlternateContent xmlns:mc="http://schemas.openxmlformats.org/markup-compatibility/2006">
      <mc:Choice Requires="x14">
        <oleObject progId="Equation.3" shapeId="6263" r:id="rId45">
          <objectPr defaultSize="0" autoLine="0" r:id="rId30">
            <anchor moveWithCells="1">
              <from>
                <xdr:col>4</xdr:col>
                <xdr:colOff>412750</xdr:colOff>
                <xdr:row>72</xdr:row>
                <xdr:rowOff>31750</xdr:rowOff>
              </from>
              <to>
                <xdr:col>5</xdr:col>
                <xdr:colOff>171450</xdr:colOff>
                <xdr:row>72</xdr:row>
                <xdr:rowOff>266700</xdr:rowOff>
              </to>
            </anchor>
          </objectPr>
        </oleObject>
      </mc:Choice>
      <mc:Fallback>
        <oleObject progId="Equation.3" shapeId="6263" r:id="rId45"/>
      </mc:Fallback>
    </mc:AlternateContent>
    <mc:AlternateContent xmlns:mc="http://schemas.openxmlformats.org/markup-compatibility/2006">
      <mc:Choice Requires="x14">
        <oleObject progId="Equation.3" shapeId="6264" r:id="rId46">
          <objectPr defaultSize="0" autoLine="0" r:id="rId32">
            <anchor moveWithCells="1">
              <from>
                <xdr:col>6</xdr:col>
                <xdr:colOff>19050</xdr:colOff>
                <xdr:row>72</xdr:row>
                <xdr:rowOff>50800</xdr:rowOff>
              </from>
              <to>
                <xdr:col>6</xdr:col>
                <xdr:colOff>514350</xdr:colOff>
                <xdr:row>72</xdr:row>
                <xdr:rowOff>285750</xdr:rowOff>
              </to>
            </anchor>
          </objectPr>
        </oleObject>
      </mc:Choice>
      <mc:Fallback>
        <oleObject progId="Equation.3" shapeId="6264" r:id="rId46"/>
      </mc:Fallback>
    </mc:AlternateContent>
    <mc:AlternateContent xmlns:mc="http://schemas.openxmlformats.org/markup-compatibility/2006">
      <mc:Choice Requires="x14">
        <oleObject progId="Equation.3" shapeId="6265" r:id="rId47">
          <objectPr defaultSize="0" autoLine="0" r:id="rId48">
            <anchor moveWithCells="1">
              <from>
                <xdr:col>3</xdr:col>
                <xdr:colOff>95250</xdr:colOff>
                <xdr:row>72</xdr:row>
                <xdr:rowOff>19050</xdr:rowOff>
              </from>
              <to>
                <xdr:col>3</xdr:col>
                <xdr:colOff>590550</xdr:colOff>
                <xdr:row>72</xdr:row>
                <xdr:rowOff>260350</xdr:rowOff>
              </to>
            </anchor>
          </objectPr>
        </oleObject>
      </mc:Choice>
      <mc:Fallback>
        <oleObject progId="Equation.3" shapeId="6265" r:id="rId47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72" r:id="rId49" name="Drop Down 28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r:id="rId50" name="Group Box 60">
              <controlPr defaultSize="0" autoFill="0" autoPict="0">
                <anchor moveWithCells="1">
                  <from>
                    <xdr:col>0</xdr:col>
                    <xdr:colOff>133350</xdr:colOff>
                    <xdr:row>15</xdr:row>
                    <xdr:rowOff>133350</xdr:rowOff>
                  </from>
                  <to>
                    <xdr:col>1</xdr:col>
                    <xdr:colOff>685800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5" r:id="rId51" name="Group Box 61">
              <controlPr defaultSize="0" autoFill="0" autoPict="0">
                <anchor moveWithCells="1">
                  <from>
                    <xdr:col>2</xdr:col>
                    <xdr:colOff>317500</xdr:colOff>
                    <xdr:row>15</xdr:row>
                    <xdr:rowOff>133350</xdr:rowOff>
                  </from>
                  <to>
                    <xdr:col>6</xdr:col>
                    <xdr:colOff>723900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6" r:id="rId52" name="Option Button 62">
              <controlPr defaultSize="0" autoFill="0" autoLine="0" autoPict="0">
                <anchor moveWithCells="1">
                  <from>
                    <xdr:col>2</xdr:col>
                    <xdr:colOff>495300</xdr:colOff>
                    <xdr:row>16</xdr:row>
                    <xdr:rowOff>19050</xdr:rowOff>
                  </from>
                  <to>
                    <xdr:col>3</xdr:col>
                    <xdr:colOff>95250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r:id="rId53" name="Option Button 63">
              <controlPr defaultSize="0" autoFill="0" autoLine="0" autoPict="0">
                <anchor moveWithCells="1">
                  <from>
                    <xdr:col>4</xdr:col>
                    <xdr:colOff>95250</xdr:colOff>
                    <xdr:row>16</xdr:row>
                    <xdr:rowOff>19050</xdr:rowOff>
                  </from>
                  <to>
                    <xdr:col>4</xdr:col>
                    <xdr:colOff>400050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8" r:id="rId54" name="Option Button 64">
              <controlPr defaultSize="0" autoFill="0" autoLine="0" autoPict="0">
                <anchor moveWithCells="1">
                  <from>
                    <xdr:col>5</xdr:col>
                    <xdr:colOff>476250</xdr:colOff>
                    <xdr:row>16</xdr:row>
                    <xdr:rowOff>31750</xdr:rowOff>
                  </from>
                  <to>
                    <xdr:col>6</xdr:col>
                    <xdr:colOff>50800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1" r:id="rId55" name="Group Box 77">
              <controlPr defaultSize="0" autoFill="0" autoPict="0">
                <anchor moveWithCells="1">
                  <from>
                    <xdr:col>0</xdr:col>
                    <xdr:colOff>133350</xdr:colOff>
                    <xdr:row>31</xdr:row>
                    <xdr:rowOff>152400</xdr:rowOff>
                  </from>
                  <to>
                    <xdr:col>1</xdr:col>
                    <xdr:colOff>685800</xdr:colOff>
                    <xdr:row>33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2" r:id="rId56" name="Group Box 78">
              <controlPr defaultSize="0" autoFill="0" autoPict="0">
                <anchor moveWithCells="1">
                  <from>
                    <xdr:col>2</xdr:col>
                    <xdr:colOff>317500</xdr:colOff>
                    <xdr:row>31</xdr:row>
                    <xdr:rowOff>152400</xdr:rowOff>
                  </from>
                  <to>
                    <xdr:col>6</xdr:col>
                    <xdr:colOff>723900</xdr:colOff>
                    <xdr:row>33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3" r:id="rId57" name="Option Button 79">
              <controlPr defaultSize="0" autoFill="0" autoLine="0" autoPict="0">
                <anchor moveWithCells="1">
                  <from>
                    <xdr:col>2</xdr:col>
                    <xdr:colOff>533400</xdr:colOff>
                    <xdr:row>32</xdr:row>
                    <xdr:rowOff>12700</xdr:rowOff>
                  </from>
                  <to>
                    <xdr:col>3</xdr:col>
                    <xdr:colOff>114300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4" r:id="rId58" name="Option Button 80">
              <controlPr defaultSize="0" autoFill="0" autoLine="0" autoPict="0">
                <anchor moveWithCells="1">
                  <from>
                    <xdr:col>4</xdr:col>
                    <xdr:colOff>133350</xdr:colOff>
                    <xdr:row>32</xdr:row>
                    <xdr:rowOff>31750</xdr:rowOff>
                  </from>
                  <to>
                    <xdr:col>4</xdr:col>
                    <xdr:colOff>438150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5" r:id="rId59" name="Option Button 81">
              <controlPr defaultSize="0" autoFill="0" autoLine="0" autoPict="0">
                <anchor moveWithCells="1">
                  <from>
                    <xdr:col>5</xdr:col>
                    <xdr:colOff>476250</xdr:colOff>
                    <xdr:row>32</xdr:row>
                    <xdr:rowOff>31750</xdr:rowOff>
                  </from>
                  <to>
                    <xdr:col>6</xdr:col>
                    <xdr:colOff>50800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9" r:id="rId60" name="Group Box 85">
              <controlPr defaultSize="0" autoFill="0" autoPict="0">
                <anchor moveWithCells="1">
                  <from>
                    <xdr:col>0</xdr:col>
                    <xdr:colOff>133350</xdr:colOff>
                    <xdr:row>55</xdr:row>
                    <xdr:rowOff>146050</xdr:rowOff>
                  </from>
                  <to>
                    <xdr:col>1</xdr:col>
                    <xdr:colOff>685800</xdr:colOff>
                    <xdr:row>57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1" r:id="rId61" name="Option Button 87">
              <controlPr defaultSize="0" autoFill="0" autoLine="0" autoPict="0">
                <anchor moveWithCells="1">
                  <from>
                    <xdr:col>2</xdr:col>
                    <xdr:colOff>527050</xdr:colOff>
                    <xdr:row>56</xdr:row>
                    <xdr:rowOff>19050</xdr:rowOff>
                  </from>
                  <to>
                    <xdr:col>3</xdr:col>
                    <xdr:colOff>107950</xdr:colOff>
                    <xdr:row>56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2" r:id="rId62" name="Option Button 88">
              <controlPr defaultSize="0" autoFill="0" autoLine="0" autoPict="0">
                <anchor moveWithCells="1">
                  <from>
                    <xdr:col>4</xdr:col>
                    <xdr:colOff>38100</xdr:colOff>
                    <xdr:row>56</xdr:row>
                    <xdr:rowOff>50800</xdr:rowOff>
                  </from>
                  <to>
                    <xdr:col>4</xdr:col>
                    <xdr:colOff>342900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3" r:id="rId63" name="Option Button 89">
              <controlPr defaultSize="0" autoFill="0" autoLine="0" autoPict="0">
                <anchor moveWithCells="1">
                  <from>
                    <xdr:col>5</xdr:col>
                    <xdr:colOff>431800</xdr:colOff>
                    <xdr:row>56</xdr:row>
                    <xdr:rowOff>50800</xdr:rowOff>
                  </from>
                  <to>
                    <xdr:col>6</xdr:col>
                    <xdr:colOff>12700</xdr:colOff>
                    <xdr:row>56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3" r:id="rId64" name="Group Box 99">
              <controlPr defaultSize="0" autoFill="0" autoPict="0">
                <anchor moveWithCells="1">
                  <from>
                    <xdr:col>0</xdr:col>
                    <xdr:colOff>133350</xdr:colOff>
                    <xdr:row>71</xdr:row>
                    <xdr:rowOff>165100</xdr:rowOff>
                  </from>
                  <to>
                    <xdr:col>1</xdr:col>
                    <xdr:colOff>685800</xdr:colOff>
                    <xdr:row>73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5" r:id="rId65" name="Option Button 101">
              <controlPr defaultSize="0" autoFill="0" autoLine="0" autoPict="0">
                <anchor moveWithCells="1">
                  <from>
                    <xdr:col>2</xdr:col>
                    <xdr:colOff>533400</xdr:colOff>
                    <xdr:row>72</xdr:row>
                    <xdr:rowOff>31750</xdr:rowOff>
                  </from>
                  <to>
                    <xdr:col>3</xdr:col>
                    <xdr:colOff>114300</xdr:colOff>
                    <xdr:row>72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" r:id="rId66" name="Option Button 102">
              <controlPr defaultSize="0" autoFill="0" autoLine="0" autoPict="0">
                <anchor moveWithCells="1">
                  <from>
                    <xdr:col>4</xdr:col>
                    <xdr:colOff>107950</xdr:colOff>
                    <xdr:row>72</xdr:row>
                    <xdr:rowOff>50800</xdr:rowOff>
                  </from>
                  <to>
                    <xdr:col>4</xdr:col>
                    <xdr:colOff>412750</xdr:colOff>
                    <xdr:row>72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" r:id="rId67" name="Option Button 103">
              <controlPr defaultSize="0" autoFill="0" autoLine="0" autoPict="0">
                <anchor moveWithCells="1">
                  <from>
                    <xdr:col>5</xdr:col>
                    <xdr:colOff>450850</xdr:colOff>
                    <xdr:row>72</xdr:row>
                    <xdr:rowOff>50800</xdr:rowOff>
                  </from>
                  <to>
                    <xdr:col>6</xdr:col>
                    <xdr:colOff>31750</xdr:colOff>
                    <xdr:row>72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9" r:id="rId68" name="Group Box 115">
              <controlPr defaultSize="0" autoFill="0" autoPict="0">
                <anchor moveWithCells="1">
                  <from>
                    <xdr:col>2</xdr:col>
                    <xdr:colOff>317500</xdr:colOff>
                    <xdr:row>55</xdr:row>
                    <xdr:rowOff>146050</xdr:rowOff>
                  </from>
                  <to>
                    <xdr:col>6</xdr:col>
                    <xdr:colOff>723900</xdr:colOff>
                    <xdr:row>57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6" r:id="rId69" name="Group Box 122">
              <controlPr defaultSize="0" autoFill="0" autoPict="0">
                <anchor moveWithCells="1">
                  <from>
                    <xdr:col>2</xdr:col>
                    <xdr:colOff>323850</xdr:colOff>
                    <xdr:row>71</xdr:row>
                    <xdr:rowOff>165100</xdr:rowOff>
                  </from>
                  <to>
                    <xdr:col>7</xdr:col>
                    <xdr:colOff>0</xdr:colOff>
                    <xdr:row>73</xdr:row>
                    <xdr:rowOff>127000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pageSetUpPr fitToPage="1"/>
  </sheetPr>
  <dimension ref="A1:N46"/>
  <sheetViews>
    <sheetView showGridLines="0" workbookViewId="0">
      <pane ySplit="2" topLeftCell="A3" activePane="bottomLeft" state="frozen"/>
      <selection activeCell="L15" sqref="L15"/>
      <selection pane="bottomLeft" activeCell="I1" sqref="I1"/>
    </sheetView>
  </sheetViews>
  <sheetFormatPr defaultColWidth="10.7265625" defaultRowHeight="24.4" customHeight="1" x14ac:dyDescent="0.25"/>
  <cols>
    <col min="1" max="16384" width="10.7265625" style="79"/>
  </cols>
  <sheetData>
    <row r="1" spans="1:13" ht="24.4" customHeight="1" x14ac:dyDescent="0.25">
      <c r="A1" s="290" t="s">
        <v>97</v>
      </c>
      <c r="B1" s="117"/>
      <c r="C1" s="117"/>
      <c r="D1" s="117"/>
      <c r="E1" s="117"/>
      <c r="F1" s="117"/>
    </row>
    <row r="2" spans="1:13" ht="24.4" customHeight="1" x14ac:dyDescent="0.25">
      <c r="B2" s="281" t="s">
        <v>79</v>
      </c>
      <c r="C2" s="119"/>
      <c r="D2" s="119"/>
      <c r="E2" s="119"/>
      <c r="F2" s="78"/>
      <c r="G2" s="94"/>
      <c r="H2" s="78"/>
      <c r="I2" s="119"/>
      <c r="J2" s="78"/>
      <c r="K2" s="78"/>
      <c r="L2" s="78"/>
    </row>
    <row r="3" spans="1:13" ht="24.4" customHeight="1" thickBot="1" x14ac:dyDescent="0.3">
      <c r="A3" s="118"/>
      <c r="B3" s="119"/>
      <c r="C3" s="119"/>
      <c r="D3" s="119"/>
      <c r="E3" s="83"/>
      <c r="F3" s="80"/>
      <c r="G3" s="91"/>
      <c r="H3" s="80"/>
      <c r="I3" s="83"/>
      <c r="J3" s="80"/>
      <c r="K3" s="80"/>
      <c r="L3" s="80"/>
    </row>
    <row r="4" spans="1:13" ht="24.4" customHeight="1" x14ac:dyDescent="0.25">
      <c r="A4" s="143" t="s">
        <v>0</v>
      </c>
      <c r="B4" s="144"/>
      <c r="C4" s="106" t="s">
        <v>72</v>
      </c>
      <c r="D4" s="224" t="s">
        <v>166</v>
      </c>
      <c r="F4" s="180" t="s">
        <v>123</v>
      </c>
      <c r="H4" s="81"/>
      <c r="I4" s="81"/>
      <c r="J4" s="82"/>
    </row>
    <row r="5" spans="1:13" ht="24.4" customHeight="1" thickBot="1" x14ac:dyDescent="0.3">
      <c r="A5" s="200">
        <f ca="1">COUNT(INDIRECT(pomocny!P15))</f>
        <v>10</v>
      </c>
      <c r="B5" s="169">
        <f ca="1">AVERAGE(INDIRECT(pomocny!P15))</f>
        <v>25.400000000000002</v>
      </c>
      <c r="C5" s="169">
        <f ca="1">STDEV(INDIRECT(pomocny!P15))</f>
        <v>2.2375581929117874</v>
      </c>
      <c r="D5" s="170">
        <f ca="1">VAR(INDIRECT(pomocny!P15))</f>
        <v>5.0066666666666642</v>
      </c>
      <c r="F5" s="181">
        <v>0.05</v>
      </c>
      <c r="H5" s="83"/>
      <c r="I5" s="81"/>
    </row>
    <row r="6" spans="1:13" s="88" customFormat="1" ht="24.4" customHeight="1" x14ac:dyDescent="0.25">
      <c r="A6" s="319" t="str">
        <f ca="1">IF(A5&lt;30,"Není splněný doporučený rozsah výběru!","")</f>
        <v>Není splněný doporučený rozsah výběru!</v>
      </c>
      <c r="B6" s="87"/>
      <c r="C6" s="87"/>
      <c r="D6" s="87"/>
      <c r="E6" s="158"/>
      <c r="H6" s="83"/>
      <c r="I6" s="81"/>
    </row>
    <row r="7" spans="1:13" ht="24.4" customHeight="1" thickBot="1" x14ac:dyDescent="0.3">
      <c r="A7" s="233" t="s">
        <v>170</v>
      </c>
      <c r="B7" s="284"/>
      <c r="C7" s="284"/>
      <c r="D7" s="84"/>
      <c r="E7" s="84"/>
      <c r="F7" s="233" t="s">
        <v>171</v>
      </c>
      <c r="G7" s="284"/>
      <c r="H7" s="84"/>
    </row>
    <row r="8" spans="1:13" ht="24.4" customHeight="1" x14ac:dyDescent="0.25">
      <c r="A8" s="145"/>
      <c r="B8" s="146"/>
      <c r="C8" s="146"/>
      <c r="D8" s="147" t="s">
        <v>50</v>
      </c>
      <c r="E8" s="84"/>
      <c r="F8" s="593" t="s">
        <v>105</v>
      </c>
      <c r="G8" s="590"/>
      <c r="H8" s="154" t="s">
        <v>13</v>
      </c>
      <c r="I8" s="155" t="s">
        <v>14</v>
      </c>
    </row>
    <row r="9" spans="1:13" ht="24.4" customHeight="1" thickBot="1" x14ac:dyDescent="0.3">
      <c r="A9" s="148">
        <f ca="1">B5</f>
        <v>25.400000000000002</v>
      </c>
      <c r="B9" s="149">
        <f ca="1">D5</f>
        <v>5.0066666666666642</v>
      </c>
      <c r="C9" s="149">
        <f ca="1">C5</f>
        <v>2.2375581929117874</v>
      </c>
      <c r="D9" s="150">
        <f ca="1">C5/SQRT(A5)</f>
        <v>0.70757802867716735</v>
      </c>
      <c r="E9" s="84"/>
      <c r="F9" s="591">
        <v>0.3</v>
      </c>
      <c r="G9" s="592"/>
      <c r="H9" s="156">
        <f>1-F5</f>
        <v>0.95</v>
      </c>
      <c r="I9" s="153">
        <f ca="1">INT(J13^2*C5^2/F9^2)+1</f>
        <v>214</v>
      </c>
    </row>
    <row r="10" spans="1:13" ht="24.4" customHeight="1" x14ac:dyDescent="0.25">
      <c r="A10" s="84"/>
      <c r="B10" s="84"/>
      <c r="C10" s="84"/>
      <c r="D10" s="84"/>
      <c r="E10" s="84"/>
    </row>
    <row r="11" spans="1:13" ht="24.4" customHeight="1" thickBot="1" x14ac:dyDescent="0.3">
      <c r="A11" s="234" t="s">
        <v>172</v>
      </c>
      <c r="B11" s="84"/>
      <c r="C11" s="84"/>
      <c r="D11" s="84"/>
      <c r="E11" s="84"/>
      <c r="F11" s="84"/>
      <c r="G11" s="84"/>
      <c r="H11" s="84"/>
      <c r="I11" s="184" t="s">
        <v>91</v>
      </c>
      <c r="J11" s="81"/>
      <c r="K11" s="80"/>
      <c r="L11" s="80"/>
    </row>
    <row r="12" spans="1:13" ht="24.4" customHeight="1" x14ac:dyDescent="0.25">
      <c r="A12" s="145" t="s">
        <v>13</v>
      </c>
      <c r="B12" s="587" t="s">
        <v>15</v>
      </c>
      <c r="C12" s="588"/>
      <c r="D12" s="159" t="s">
        <v>128</v>
      </c>
      <c r="E12" s="146" t="s">
        <v>16</v>
      </c>
      <c r="F12" s="146" t="s">
        <v>17</v>
      </c>
      <c r="G12" s="160" t="s">
        <v>128</v>
      </c>
      <c r="H12" s="84"/>
      <c r="I12" s="171" t="s">
        <v>129</v>
      </c>
      <c r="J12" s="167" t="s">
        <v>130</v>
      </c>
    </row>
    <row r="13" spans="1:13" ht="24.4" customHeight="1" thickBot="1" x14ac:dyDescent="0.3">
      <c r="A13" s="161">
        <f>1-F5</f>
        <v>0.95</v>
      </c>
      <c r="B13" s="149">
        <f ca="1">B5-J13*C5/SQRT(A5)</f>
        <v>24.013172547540904</v>
      </c>
      <c r="C13" s="149">
        <f ca="1">B5+J13*C5/SQRT(A5)</f>
        <v>26.7868274524591</v>
      </c>
      <c r="D13" s="317">
        <f ca="1">J13*C5/SQRT(A5)</f>
        <v>1.3868274524590971</v>
      </c>
      <c r="E13" s="149">
        <f ca="1">B5-I13*C5/SQRT(A5)</f>
        <v>24.23613771317919</v>
      </c>
      <c r="F13" s="163">
        <f ca="1">B5+I13*C5/SQRT(A5)</f>
        <v>26.563862286820815</v>
      </c>
      <c r="G13" s="316">
        <f ca="1">I13*C5/SQRT(A5)</f>
        <v>1.1638622868208111</v>
      </c>
      <c r="H13" s="84"/>
      <c r="I13" s="172">
        <f>NORMSINV(1-F5)</f>
        <v>1.6448536269514715</v>
      </c>
      <c r="J13" s="170">
        <f>NORMSINV(1-F5/2)</f>
        <v>1.9599639845400536</v>
      </c>
      <c r="L13" s="81"/>
      <c r="M13" s="81"/>
    </row>
    <row r="14" spans="1:13" s="88" customFormat="1" ht="24.4" customHeight="1" x14ac:dyDescent="0.25">
      <c r="A14" s="85"/>
      <c r="B14" s="86"/>
      <c r="C14" s="86"/>
      <c r="D14" s="86"/>
      <c r="E14" s="86"/>
      <c r="F14" s="86"/>
      <c r="G14" s="86"/>
      <c r="H14" s="90"/>
      <c r="L14" s="87"/>
      <c r="M14" s="87"/>
    </row>
    <row r="15" spans="1:13" s="88" customFormat="1" ht="24.4" customHeight="1" x14ac:dyDescent="0.25">
      <c r="A15" s="235" t="s">
        <v>173</v>
      </c>
      <c r="B15" s="90"/>
      <c r="C15" s="90"/>
      <c r="D15" s="96"/>
      <c r="E15" s="90"/>
      <c r="F15" s="96"/>
      <c r="G15" s="96"/>
      <c r="H15" s="96"/>
      <c r="I15" s="81"/>
      <c r="J15" s="81"/>
      <c r="K15" s="81"/>
      <c r="L15" s="81"/>
    </row>
    <row r="16" spans="1:13" s="88" customFormat="1" ht="24.4" customHeight="1" x14ac:dyDescent="0.25">
      <c r="A16" s="234"/>
      <c r="B16" s="91"/>
      <c r="C16" s="91"/>
      <c r="D16" s="84"/>
      <c r="E16" s="91"/>
      <c r="F16" s="84"/>
      <c r="G16" s="84"/>
      <c r="H16" s="84"/>
      <c r="J16" s="81"/>
      <c r="K16" s="81"/>
      <c r="L16" s="81"/>
    </row>
    <row r="17" spans="1:14" s="88" customFormat="1" ht="24.4" customHeight="1" x14ac:dyDescent="0.25">
      <c r="A17" s="234"/>
      <c r="B17" s="91"/>
      <c r="C17" s="91"/>
      <c r="D17" s="84"/>
      <c r="E17" s="91"/>
      <c r="F17" s="84"/>
      <c r="G17" s="84"/>
      <c r="H17" s="353">
        <v>3</v>
      </c>
      <c r="J17" s="81"/>
      <c r="K17" s="81"/>
      <c r="L17" s="81"/>
    </row>
    <row r="18" spans="1:14" s="88" customFormat="1" ht="24.4" customHeight="1" thickBot="1" x14ac:dyDescent="0.3">
      <c r="A18" s="234"/>
      <c r="B18" s="91"/>
      <c r="C18" s="91"/>
      <c r="D18" s="84"/>
      <c r="E18" s="91"/>
      <c r="F18" s="84"/>
      <c r="G18" s="84"/>
      <c r="H18" s="84"/>
      <c r="I18" s="84"/>
      <c r="J18" s="81"/>
      <c r="K18" s="81"/>
      <c r="L18" s="81"/>
    </row>
    <row r="19" spans="1:14" s="88" customFormat="1" ht="24.4" customHeight="1" thickBot="1" x14ac:dyDescent="0.3">
      <c r="A19" s="174" t="s">
        <v>131</v>
      </c>
      <c r="B19" s="337">
        <v>38</v>
      </c>
      <c r="C19" s="335"/>
      <c r="D19" s="336"/>
      <c r="E19" s="79"/>
      <c r="F19" s="79"/>
      <c r="G19" s="79"/>
      <c r="H19" s="84"/>
      <c r="I19" s="84"/>
      <c r="J19" s="81"/>
      <c r="K19" s="81"/>
      <c r="L19" s="81"/>
    </row>
    <row r="20" spans="1:14" s="88" customFormat="1" ht="24.4" customHeight="1" x14ac:dyDescent="0.25">
      <c r="A20" s="145" t="s">
        <v>18</v>
      </c>
      <c r="B20" s="173" t="s">
        <v>74</v>
      </c>
      <c r="C20" s="173" t="s">
        <v>196</v>
      </c>
      <c r="D20" s="173" t="s">
        <v>141</v>
      </c>
      <c r="E20" s="173" t="s">
        <v>86</v>
      </c>
      <c r="F20" s="146" t="s">
        <v>19</v>
      </c>
      <c r="G20" s="151" t="s">
        <v>20</v>
      </c>
      <c r="H20" s="84"/>
      <c r="I20" s="84"/>
      <c r="J20" s="81"/>
      <c r="K20" s="81"/>
      <c r="L20" s="81"/>
    </row>
    <row r="21" spans="1:14" s="88" customFormat="1" ht="24.4" customHeight="1" thickBot="1" x14ac:dyDescent="0.3">
      <c r="A21" s="344">
        <f>1-F5</f>
        <v>0.95</v>
      </c>
      <c r="B21" s="149">
        <f ca="1">(B5-B19)/C5*SQRT(A5)</f>
        <v>-17.807223358187045</v>
      </c>
      <c r="C21" s="331" t="str">
        <f ca="1">IF(E21&lt;=F5,"ano","ne")</f>
        <v>ano</v>
      </c>
      <c r="D21" s="149">
        <f>IF(H17=1,J13,IF(H17=2,I13,-I13))</f>
        <v>-1.6448536269514715</v>
      </c>
      <c r="E21" s="149">
        <f ca="1">IF(H17=1,2*MIN(NORMSDIST(B21),1-NORMSDIST(B21)),IF(H17=2,1-NORMSDIST(B21),NORMSDIST(B21)))</f>
        <v>3.1057893473060362E-71</v>
      </c>
      <c r="F21" s="149" t="str">
        <f ca="1">IF(C21="ano","zamítá se","nezamítá se")</f>
        <v>zamítá se</v>
      </c>
      <c r="G21" s="332" t="str">
        <f ca="1">IF(C21="ano","se přijme","x")</f>
        <v>se přijme</v>
      </c>
      <c r="H21" s="90"/>
      <c r="I21" s="84"/>
      <c r="J21" s="81"/>
      <c r="K21" s="81"/>
      <c r="L21" s="81"/>
    </row>
    <row r="22" spans="1:14" ht="24.4" customHeight="1" x14ac:dyDescent="0.25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</row>
    <row r="23" spans="1:14" ht="24.4" customHeight="1" x14ac:dyDescent="0.25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4" ht="24.4" customHeight="1" thickBot="1" x14ac:dyDescent="0.3">
      <c r="A24" s="346"/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</row>
    <row r="25" spans="1:14" ht="24.4" customHeight="1" x14ac:dyDescent="0.25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</row>
    <row r="26" spans="1:14" ht="24.4" customHeight="1" x14ac:dyDescent="0.25">
      <c r="A26" s="304" t="s">
        <v>183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</row>
    <row r="27" spans="1:14" ht="24.4" customHeight="1" thickBot="1" x14ac:dyDescent="0.3">
      <c r="A27" s="184" t="s">
        <v>188</v>
      </c>
      <c r="I27" s="176" t="s">
        <v>185</v>
      </c>
      <c r="J27" s="176"/>
    </row>
    <row r="28" spans="1:14" ht="24.4" customHeight="1" x14ac:dyDescent="0.25">
      <c r="A28" s="143" t="s">
        <v>0</v>
      </c>
      <c r="B28" s="144"/>
      <c r="C28" s="321" t="s">
        <v>72</v>
      </c>
      <c r="D28" s="322" t="s">
        <v>166</v>
      </c>
      <c r="F28" s="180" t="s">
        <v>123</v>
      </c>
      <c r="G28" s="79" t="s">
        <v>184</v>
      </c>
      <c r="H28" s="184"/>
      <c r="I28" s="143" t="s">
        <v>186</v>
      </c>
      <c r="J28" s="326">
        <v>2.214</v>
      </c>
    </row>
    <row r="29" spans="1:14" ht="24.4" customHeight="1" thickBot="1" x14ac:dyDescent="0.3">
      <c r="A29" s="303">
        <v>50</v>
      </c>
      <c r="B29" s="311">
        <v>41.9</v>
      </c>
      <c r="C29" s="320">
        <v>1.4879519999999999</v>
      </c>
      <c r="D29" s="323">
        <f>C29^2</f>
        <v>2.2140011543039999</v>
      </c>
      <c r="F29" s="181">
        <v>0.05</v>
      </c>
      <c r="H29" s="83"/>
      <c r="I29" s="325" t="s">
        <v>187</v>
      </c>
      <c r="J29" s="327">
        <f>SQRT(J28)</f>
        <v>1.4879516121164693</v>
      </c>
    </row>
    <row r="30" spans="1:14" ht="24.4" customHeight="1" x14ac:dyDescent="0.25">
      <c r="A30" s="319" t="str">
        <f>IF(A29&lt;30,"Není splněný doporučený rozsah výběru!","")</f>
        <v/>
      </c>
      <c r="B30" s="87"/>
      <c r="C30" s="87"/>
      <c r="D30" s="87"/>
      <c r="E30" s="158"/>
      <c r="F30" s="88"/>
      <c r="G30" s="88"/>
      <c r="H30" s="83"/>
      <c r="I30" s="81"/>
      <c r="J30" s="88"/>
    </row>
    <row r="31" spans="1:14" ht="24.4" customHeight="1" thickBot="1" x14ac:dyDescent="0.3">
      <c r="A31" s="233" t="s">
        <v>170</v>
      </c>
      <c r="B31" s="284"/>
      <c r="C31" s="284"/>
      <c r="D31" s="84"/>
      <c r="E31" s="84"/>
      <c r="F31" s="233" t="s">
        <v>171</v>
      </c>
      <c r="G31" s="284"/>
      <c r="H31" s="84"/>
    </row>
    <row r="32" spans="1:14" ht="24.4" customHeight="1" x14ac:dyDescent="0.25">
      <c r="A32" s="145"/>
      <c r="B32" s="146"/>
      <c r="C32" s="146"/>
      <c r="D32" s="147" t="s">
        <v>50</v>
      </c>
      <c r="E32" s="84"/>
      <c r="F32" s="593" t="s">
        <v>105</v>
      </c>
      <c r="G32" s="590"/>
      <c r="H32" s="154" t="s">
        <v>13</v>
      </c>
      <c r="I32" s="155" t="s">
        <v>14</v>
      </c>
    </row>
    <row r="33" spans="1:10" ht="24.4" customHeight="1" thickBot="1" x14ac:dyDescent="0.3">
      <c r="A33" s="148">
        <f>B29</f>
        <v>41.9</v>
      </c>
      <c r="B33" s="149">
        <f>C29^2</f>
        <v>2.2140011543039999</v>
      </c>
      <c r="C33" s="149">
        <f>C29</f>
        <v>1.4879519999999999</v>
      </c>
      <c r="D33" s="150">
        <f>C29/SQRT(A29)</f>
        <v>0.21042818985601713</v>
      </c>
      <c r="E33" s="84"/>
      <c r="F33" s="591">
        <v>0.3</v>
      </c>
      <c r="G33" s="592"/>
      <c r="H33" s="156">
        <f>1-F29</f>
        <v>0.95</v>
      </c>
      <c r="I33" s="153">
        <f>INT(J37^2*C29^2/F33^2)+1</f>
        <v>95</v>
      </c>
    </row>
    <row r="34" spans="1:10" ht="24.4" customHeight="1" x14ac:dyDescent="0.25">
      <c r="A34" s="84"/>
      <c r="B34" s="84"/>
      <c r="C34" s="84"/>
      <c r="D34" s="84"/>
      <c r="E34" s="84"/>
    </row>
    <row r="35" spans="1:10" ht="24.4" customHeight="1" thickBot="1" x14ac:dyDescent="0.3">
      <c r="A35" s="234" t="s">
        <v>172</v>
      </c>
      <c r="B35" s="84"/>
      <c r="C35" s="84"/>
      <c r="D35" s="84"/>
      <c r="E35" s="84"/>
      <c r="F35" s="84"/>
      <c r="G35" s="84"/>
      <c r="H35" s="84"/>
      <c r="I35" s="184" t="s">
        <v>91</v>
      </c>
      <c r="J35" s="81"/>
    </row>
    <row r="36" spans="1:10" ht="24.4" customHeight="1" x14ac:dyDescent="0.25">
      <c r="A36" s="145" t="s">
        <v>13</v>
      </c>
      <c r="B36" s="587" t="s">
        <v>15</v>
      </c>
      <c r="C36" s="588"/>
      <c r="D36" s="159" t="s">
        <v>128</v>
      </c>
      <c r="E36" s="146" t="s">
        <v>16</v>
      </c>
      <c r="F36" s="146" t="s">
        <v>17</v>
      </c>
      <c r="G36" s="160" t="s">
        <v>128</v>
      </c>
      <c r="H36" s="84"/>
      <c r="I36" s="171" t="s">
        <v>129</v>
      </c>
      <c r="J36" s="167" t="s">
        <v>130</v>
      </c>
    </row>
    <row r="37" spans="1:10" ht="24.4" customHeight="1" thickBot="1" x14ac:dyDescent="0.3">
      <c r="A37" s="161">
        <f>1-F29</f>
        <v>0.95</v>
      </c>
      <c r="B37" s="149">
        <f>B29-J37*C29/SQRT(A29)</f>
        <v>41.487568326550246</v>
      </c>
      <c r="C37" s="149">
        <f>B29+J37*C29/SQRT(A29)</f>
        <v>42.312431673449751</v>
      </c>
      <c r="D37" s="162">
        <f>J37*C29/SQRT(A29)</f>
        <v>0.41243167344975024</v>
      </c>
      <c r="E37" s="149">
        <f>B29-I37*C29/SQRT(A29)</f>
        <v>41.553876428702495</v>
      </c>
      <c r="F37" s="163">
        <f>B29+I37*C29/SQRT(A29)</f>
        <v>42.246123571297503</v>
      </c>
      <c r="G37" s="164">
        <f>I37*C29/SQRT(A29)</f>
        <v>0.34612357129750265</v>
      </c>
      <c r="H37" s="84"/>
      <c r="I37" s="172">
        <f>NORMSINV(1-F29)</f>
        <v>1.6448536269514715</v>
      </c>
      <c r="J37" s="170">
        <f>NORMSINV(1-F29/2)</f>
        <v>1.9599639845400536</v>
      </c>
    </row>
    <row r="38" spans="1:10" ht="24.4" customHeight="1" x14ac:dyDescent="0.25">
      <c r="A38" s="85"/>
      <c r="B38" s="86"/>
      <c r="C38" s="86"/>
      <c r="D38" s="86"/>
      <c r="E38" s="86"/>
      <c r="F38" s="86"/>
      <c r="G38" s="86"/>
      <c r="H38" s="90"/>
      <c r="I38" s="88"/>
      <c r="J38" s="88"/>
    </row>
    <row r="39" spans="1:10" ht="24.4" customHeight="1" x14ac:dyDescent="0.25">
      <c r="A39" s="235" t="s">
        <v>173</v>
      </c>
      <c r="B39" s="90"/>
      <c r="C39" s="90"/>
      <c r="D39" s="96"/>
      <c r="E39" s="90"/>
      <c r="F39" s="96"/>
      <c r="G39" s="96"/>
      <c r="H39" s="96"/>
      <c r="I39" s="81"/>
      <c r="J39" s="81"/>
    </row>
    <row r="40" spans="1:10" ht="24.4" customHeight="1" x14ac:dyDescent="0.25">
      <c r="A40" s="234"/>
      <c r="B40" s="91"/>
      <c r="C40" s="91"/>
      <c r="D40" s="84"/>
      <c r="E40" s="91"/>
      <c r="F40" s="84"/>
      <c r="G40" s="84"/>
      <c r="H40" s="84"/>
      <c r="J40" s="81"/>
    </row>
    <row r="41" spans="1:10" ht="24.4" customHeight="1" x14ac:dyDescent="0.25">
      <c r="A41" s="234"/>
      <c r="B41" s="91"/>
      <c r="C41" s="91"/>
      <c r="D41" s="84"/>
      <c r="E41" s="91"/>
      <c r="F41" s="84"/>
      <c r="G41" s="84"/>
      <c r="H41" s="353">
        <v>1</v>
      </c>
      <c r="J41" s="81"/>
    </row>
    <row r="42" spans="1:10" ht="24.4" customHeight="1" thickBot="1" x14ac:dyDescent="0.3">
      <c r="A42" s="234"/>
      <c r="B42" s="91"/>
      <c r="C42" s="91"/>
      <c r="D42" s="84"/>
      <c r="E42" s="91"/>
      <c r="F42" s="84"/>
      <c r="G42" s="84"/>
      <c r="H42" s="84"/>
      <c r="I42" s="84"/>
      <c r="J42" s="81"/>
    </row>
    <row r="43" spans="1:10" ht="24.4" customHeight="1" thickBot="1" x14ac:dyDescent="0.3">
      <c r="A43" s="174" t="s">
        <v>131</v>
      </c>
      <c r="B43" s="337">
        <v>42</v>
      </c>
      <c r="C43" s="335"/>
      <c r="D43" s="336"/>
      <c r="H43" s="84"/>
      <c r="I43" s="84"/>
      <c r="J43" s="81"/>
    </row>
    <row r="44" spans="1:10" ht="24.4" customHeight="1" x14ac:dyDescent="0.25">
      <c r="A44" s="145" t="s">
        <v>18</v>
      </c>
      <c r="B44" s="173" t="s">
        <v>74</v>
      </c>
      <c r="C44" s="173" t="s">
        <v>196</v>
      </c>
      <c r="D44" s="173" t="s">
        <v>141</v>
      </c>
      <c r="E44" s="173" t="s">
        <v>86</v>
      </c>
      <c r="F44" s="146" t="s">
        <v>19</v>
      </c>
      <c r="G44" s="151" t="s">
        <v>20</v>
      </c>
      <c r="H44" s="84"/>
      <c r="I44" s="84"/>
      <c r="J44" s="81"/>
    </row>
    <row r="45" spans="1:10" ht="24.4" customHeight="1" thickBot="1" x14ac:dyDescent="0.3">
      <c r="A45" s="344">
        <f>1-F29</f>
        <v>0.95</v>
      </c>
      <c r="B45" s="149">
        <f>(B29-B43)/C29*SQRT(A29)</f>
        <v>-0.47522149987805895</v>
      </c>
      <c r="C45" s="331" t="str">
        <f>IF(E45&lt;=F29,"ano","ne")</f>
        <v>ne</v>
      </c>
      <c r="D45" s="149">
        <f>IF(H41=1,J37,IF(H41=2,I37,-I37))</f>
        <v>1.9599639845400536</v>
      </c>
      <c r="E45" s="149">
        <f>IF(H41=1,2*MIN(NORMSDIST(B45),1-NORMSDIST(B45)),IF(H41=2,1-NORMSDIST(B45),NORMSDIST(B45)))</f>
        <v>0.63462910428296282</v>
      </c>
      <c r="F45" s="149" t="str">
        <f>IF(C45="ano","zamítá se","nezamítá se")</f>
        <v>nezamítá se</v>
      </c>
      <c r="G45" s="332" t="str">
        <f>IF(C45="ano","se přijme","x")</f>
        <v>x</v>
      </c>
      <c r="H45" s="90"/>
      <c r="I45" s="84"/>
      <c r="J45" s="81"/>
    </row>
    <row r="46" spans="1:10" ht="24.4" customHeight="1" x14ac:dyDescent="0.25">
      <c r="A46" s="318" t="str">
        <f>IF(A29&lt;30,"Není splněný doporučený rozsah výběru!","")</f>
        <v/>
      </c>
    </row>
  </sheetData>
  <sheetProtection password="DBEF" sheet="1" objects="1" scenarios="1" formatCells="0"/>
  <mergeCells count="6">
    <mergeCell ref="F32:G32"/>
    <mergeCell ref="F33:G33"/>
    <mergeCell ref="B36:C36"/>
    <mergeCell ref="F8:G8"/>
    <mergeCell ref="F9:G9"/>
    <mergeCell ref="B12:C12"/>
  </mergeCells>
  <phoneticPr fontId="5" type="noConversion"/>
  <printOptions horizontalCentered="1"/>
  <pageMargins left="0.78740157480314965" right="0.78740157480314965" top="0.98425196850393704" bottom="0.98425196850393704" header="0.59055118110236227" footer="0.59055118110236227"/>
  <pageSetup paperSize="9" fitToWidth="2" orientation="portrait" horizontalDpi="180" verticalDpi="180" r:id="rId1"/>
  <headerFooter alignWithMargins="0">
    <oddHeader xml:space="preserve">&amp;C&amp;11Zpracování výběrového šetření 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14337" r:id="rId4">
          <objectPr defaultSize="0" autoLine="0" r:id="rId5">
            <anchor moveWithCells="1">
              <from>
                <xdr:col>1</xdr:col>
                <xdr:colOff>336550</xdr:colOff>
                <xdr:row>3</xdr:row>
                <xdr:rowOff>76200</xdr:rowOff>
              </from>
              <to>
                <xdr:col>1</xdr:col>
                <xdr:colOff>469900</xdr:colOff>
                <xdr:row>3</xdr:row>
                <xdr:rowOff>228600</xdr:rowOff>
              </to>
            </anchor>
          </objectPr>
        </oleObject>
      </mc:Choice>
      <mc:Fallback>
        <oleObject progId="Equation.2" shapeId="14337" r:id="rId4"/>
      </mc:Fallback>
    </mc:AlternateContent>
    <mc:AlternateContent xmlns:mc="http://schemas.openxmlformats.org/markup-compatibility/2006">
      <mc:Choice Requires="x14">
        <oleObject progId="Equation.2" shapeId="14341" r:id="rId6">
          <objectPr defaultSize="0" autoLine="0" r:id="rId7">
            <anchor moveWithCells="1">
              <from>
                <xdr:col>0</xdr:col>
                <xdr:colOff>304800</xdr:colOff>
                <xdr:row>7</xdr:row>
                <xdr:rowOff>57150</xdr:rowOff>
              </from>
              <to>
                <xdr:col>0</xdr:col>
                <xdr:colOff>450850</xdr:colOff>
                <xdr:row>7</xdr:row>
                <xdr:rowOff>279400</xdr:rowOff>
              </to>
            </anchor>
          </objectPr>
        </oleObject>
      </mc:Choice>
      <mc:Fallback>
        <oleObject progId="Equation.2" shapeId="14341" r:id="rId6"/>
      </mc:Fallback>
    </mc:AlternateContent>
    <mc:AlternateContent xmlns:mc="http://schemas.openxmlformats.org/markup-compatibility/2006">
      <mc:Choice Requires="x14">
        <oleObject progId="Equation.2" shapeId="14342" r:id="rId8">
          <objectPr defaultSize="0" autoLine="0" r:id="rId9">
            <anchor moveWithCells="1">
              <from>
                <xdr:col>1</xdr:col>
                <xdr:colOff>304800</xdr:colOff>
                <xdr:row>7</xdr:row>
                <xdr:rowOff>76200</xdr:rowOff>
              </from>
              <to>
                <xdr:col>1</xdr:col>
                <xdr:colOff>508000</xdr:colOff>
                <xdr:row>7</xdr:row>
                <xdr:rowOff>266700</xdr:rowOff>
              </to>
            </anchor>
          </objectPr>
        </oleObject>
      </mc:Choice>
      <mc:Fallback>
        <oleObject progId="Equation.2" shapeId="14342" r:id="rId8"/>
      </mc:Fallback>
    </mc:AlternateContent>
    <mc:AlternateContent xmlns:mc="http://schemas.openxmlformats.org/markup-compatibility/2006">
      <mc:Choice Requires="x14">
        <oleObject progId="Equation.2" shapeId="14343" r:id="rId10">
          <objectPr defaultSize="0" autoLine="0" r:id="rId11">
            <anchor moveWithCells="1">
              <from>
                <xdr:col>2</xdr:col>
                <xdr:colOff>304800</xdr:colOff>
                <xdr:row>7</xdr:row>
                <xdr:rowOff>69850</xdr:rowOff>
              </from>
              <to>
                <xdr:col>2</xdr:col>
                <xdr:colOff>450850</xdr:colOff>
                <xdr:row>7</xdr:row>
                <xdr:rowOff>260350</xdr:rowOff>
              </to>
            </anchor>
          </objectPr>
        </oleObject>
      </mc:Choice>
      <mc:Fallback>
        <oleObject progId="Equation.2" shapeId="14343" r:id="rId10"/>
      </mc:Fallback>
    </mc:AlternateContent>
    <mc:AlternateContent xmlns:mc="http://schemas.openxmlformats.org/markup-compatibility/2006">
      <mc:Choice Requires="x14">
        <oleObject progId="Equation.2" shapeId="14352" r:id="rId12">
          <objectPr defaultSize="0" autoLine="0" r:id="rId5">
            <anchor moveWithCells="1">
              <from>
                <xdr:col>1</xdr:col>
                <xdr:colOff>323850</xdr:colOff>
                <xdr:row>3</xdr:row>
                <xdr:rowOff>95250</xdr:rowOff>
              </from>
              <to>
                <xdr:col>1</xdr:col>
                <xdr:colOff>450850</xdr:colOff>
                <xdr:row>3</xdr:row>
                <xdr:rowOff>247650</xdr:rowOff>
              </to>
            </anchor>
          </objectPr>
        </oleObject>
      </mc:Choice>
      <mc:Fallback>
        <oleObject progId="Equation.2" shapeId="14352" r:id="rId12"/>
      </mc:Fallback>
    </mc:AlternateContent>
    <mc:AlternateContent xmlns:mc="http://schemas.openxmlformats.org/markup-compatibility/2006">
      <mc:Choice Requires="x14">
        <oleObject progId="Equation.2" shapeId="14358" r:id="rId13">
          <objectPr defaultSize="0" autoLine="0" r:id="rId5">
            <anchor moveWithCells="1">
              <from>
                <xdr:col>1</xdr:col>
                <xdr:colOff>336550</xdr:colOff>
                <xdr:row>27</xdr:row>
                <xdr:rowOff>76200</xdr:rowOff>
              </from>
              <to>
                <xdr:col>1</xdr:col>
                <xdr:colOff>469900</xdr:colOff>
                <xdr:row>27</xdr:row>
                <xdr:rowOff>228600</xdr:rowOff>
              </to>
            </anchor>
          </objectPr>
        </oleObject>
      </mc:Choice>
      <mc:Fallback>
        <oleObject progId="Equation.2" shapeId="14358" r:id="rId13"/>
      </mc:Fallback>
    </mc:AlternateContent>
    <mc:AlternateContent xmlns:mc="http://schemas.openxmlformats.org/markup-compatibility/2006">
      <mc:Choice Requires="x14">
        <oleObject progId="Equation.2" shapeId="14359" r:id="rId14">
          <objectPr defaultSize="0" autoLine="0" r:id="rId7">
            <anchor moveWithCells="1">
              <from>
                <xdr:col>0</xdr:col>
                <xdr:colOff>304800</xdr:colOff>
                <xdr:row>31</xdr:row>
                <xdr:rowOff>57150</xdr:rowOff>
              </from>
              <to>
                <xdr:col>0</xdr:col>
                <xdr:colOff>450850</xdr:colOff>
                <xdr:row>31</xdr:row>
                <xdr:rowOff>279400</xdr:rowOff>
              </to>
            </anchor>
          </objectPr>
        </oleObject>
      </mc:Choice>
      <mc:Fallback>
        <oleObject progId="Equation.2" shapeId="14359" r:id="rId14"/>
      </mc:Fallback>
    </mc:AlternateContent>
    <mc:AlternateContent xmlns:mc="http://schemas.openxmlformats.org/markup-compatibility/2006">
      <mc:Choice Requires="x14">
        <oleObject progId="Equation.2" shapeId="14360" r:id="rId15">
          <objectPr defaultSize="0" autoLine="0" r:id="rId9">
            <anchor moveWithCells="1">
              <from>
                <xdr:col>1</xdr:col>
                <xdr:colOff>304800</xdr:colOff>
                <xdr:row>31</xdr:row>
                <xdr:rowOff>76200</xdr:rowOff>
              </from>
              <to>
                <xdr:col>1</xdr:col>
                <xdr:colOff>508000</xdr:colOff>
                <xdr:row>31</xdr:row>
                <xdr:rowOff>266700</xdr:rowOff>
              </to>
            </anchor>
          </objectPr>
        </oleObject>
      </mc:Choice>
      <mc:Fallback>
        <oleObject progId="Equation.2" shapeId="14360" r:id="rId15"/>
      </mc:Fallback>
    </mc:AlternateContent>
    <mc:AlternateContent xmlns:mc="http://schemas.openxmlformats.org/markup-compatibility/2006">
      <mc:Choice Requires="x14">
        <oleObject progId="Equation.2" shapeId="14361" r:id="rId16">
          <objectPr defaultSize="0" autoLine="0" r:id="rId11">
            <anchor moveWithCells="1">
              <from>
                <xdr:col>2</xdr:col>
                <xdr:colOff>304800</xdr:colOff>
                <xdr:row>31</xdr:row>
                <xdr:rowOff>69850</xdr:rowOff>
              </from>
              <to>
                <xdr:col>2</xdr:col>
                <xdr:colOff>450850</xdr:colOff>
                <xdr:row>31</xdr:row>
                <xdr:rowOff>260350</xdr:rowOff>
              </to>
            </anchor>
          </objectPr>
        </oleObject>
      </mc:Choice>
      <mc:Fallback>
        <oleObject progId="Equation.2" shapeId="14361" r:id="rId16"/>
      </mc:Fallback>
    </mc:AlternateContent>
    <mc:AlternateContent xmlns:mc="http://schemas.openxmlformats.org/markup-compatibility/2006">
      <mc:Choice Requires="x14">
        <oleObject progId="Equation.2" shapeId="14362" r:id="rId17">
          <objectPr defaultSize="0" autoLine="0" r:id="rId5">
            <anchor moveWithCells="1">
              <from>
                <xdr:col>1</xdr:col>
                <xdr:colOff>323850</xdr:colOff>
                <xdr:row>27</xdr:row>
                <xdr:rowOff>95250</xdr:rowOff>
              </from>
              <to>
                <xdr:col>1</xdr:col>
                <xdr:colOff>450850</xdr:colOff>
                <xdr:row>27</xdr:row>
                <xdr:rowOff>247650</xdr:rowOff>
              </to>
            </anchor>
          </objectPr>
        </oleObject>
      </mc:Choice>
      <mc:Fallback>
        <oleObject progId="Equation.2" shapeId="14362" r:id="rId17"/>
      </mc:Fallback>
    </mc:AlternateContent>
    <mc:AlternateContent xmlns:mc="http://schemas.openxmlformats.org/markup-compatibility/2006">
      <mc:Choice Requires="x14">
        <oleObject progId="Equation.3" shapeId="14383" r:id="rId18">
          <objectPr defaultSize="0" autoLine="0" r:id="rId19">
            <anchor moveWithCells="1">
              <from>
                <xdr:col>0</xdr:col>
                <xdr:colOff>584200</xdr:colOff>
                <xdr:row>16</xdr:row>
                <xdr:rowOff>50800</xdr:rowOff>
              </from>
              <to>
                <xdr:col>1</xdr:col>
                <xdr:colOff>266700</xdr:colOff>
                <xdr:row>16</xdr:row>
                <xdr:rowOff>266700</xdr:rowOff>
              </to>
            </anchor>
          </objectPr>
        </oleObject>
      </mc:Choice>
      <mc:Fallback>
        <oleObject progId="Equation.3" shapeId="14383" r:id="rId18"/>
      </mc:Fallback>
    </mc:AlternateContent>
    <mc:AlternateContent xmlns:mc="http://schemas.openxmlformats.org/markup-compatibility/2006">
      <mc:Choice Requires="x14">
        <oleObject progId="Equation.3" shapeId="14384" r:id="rId20">
          <objectPr defaultSize="0" autoLine="0" r:id="rId19">
            <anchor moveWithCells="1">
              <from>
                <xdr:col>0</xdr:col>
                <xdr:colOff>584200</xdr:colOff>
                <xdr:row>40</xdr:row>
                <xdr:rowOff>69850</xdr:rowOff>
              </from>
              <to>
                <xdr:col>1</xdr:col>
                <xdr:colOff>266700</xdr:colOff>
                <xdr:row>40</xdr:row>
                <xdr:rowOff>298450</xdr:rowOff>
              </to>
            </anchor>
          </objectPr>
        </oleObject>
      </mc:Choice>
      <mc:Fallback>
        <oleObject progId="Equation.3" shapeId="14384" r:id="rId20"/>
      </mc:Fallback>
    </mc:AlternateContent>
    <mc:AlternateContent xmlns:mc="http://schemas.openxmlformats.org/markup-compatibility/2006">
      <mc:Choice Requires="x14">
        <oleObject progId="Equation.3" shapeId="14390" r:id="rId21">
          <objectPr defaultSize="0" autoLine="0" r:id="rId22">
            <anchor moveWithCells="1">
              <from>
                <xdr:col>3</xdr:col>
                <xdr:colOff>76200</xdr:colOff>
                <xdr:row>16</xdr:row>
                <xdr:rowOff>57150</xdr:rowOff>
              </from>
              <to>
                <xdr:col>3</xdr:col>
                <xdr:colOff>495300</xdr:colOff>
                <xdr:row>16</xdr:row>
                <xdr:rowOff>279400</xdr:rowOff>
              </to>
            </anchor>
          </objectPr>
        </oleObject>
      </mc:Choice>
      <mc:Fallback>
        <oleObject progId="Equation.3" shapeId="14390" r:id="rId21"/>
      </mc:Fallback>
    </mc:AlternateContent>
    <mc:AlternateContent xmlns:mc="http://schemas.openxmlformats.org/markup-compatibility/2006">
      <mc:Choice Requires="x14">
        <oleObject progId="Equation.3" shapeId="14391" r:id="rId23">
          <objectPr defaultSize="0" autoLine="0" r:id="rId24">
            <anchor moveWithCells="1">
              <from>
                <xdr:col>4</xdr:col>
                <xdr:colOff>438150</xdr:colOff>
                <xdr:row>16</xdr:row>
                <xdr:rowOff>69850</xdr:rowOff>
              </from>
              <to>
                <xdr:col>5</xdr:col>
                <xdr:colOff>133350</xdr:colOff>
                <xdr:row>16</xdr:row>
                <xdr:rowOff>298450</xdr:rowOff>
              </to>
            </anchor>
          </objectPr>
        </oleObject>
      </mc:Choice>
      <mc:Fallback>
        <oleObject progId="Equation.3" shapeId="14391" r:id="rId23"/>
      </mc:Fallback>
    </mc:AlternateContent>
    <mc:AlternateContent xmlns:mc="http://schemas.openxmlformats.org/markup-compatibility/2006">
      <mc:Choice Requires="x14">
        <oleObject progId="Equation.3" shapeId="14392" r:id="rId25">
          <objectPr defaultSize="0" autoLine="0" r:id="rId26">
            <anchor moveWithCells="1">
              <from>
                <xdr:col>6</xdr:col>
                <xdr:colOff>38100</xdr:colOff>
                <xdr:row>16</xdr:row>
                <xdr:rowOff>69850</xdr:rowOff>
              </from>
              <to>
                <xdr:col>6</xdr:col>
                <xdr:colOff>457200</xdr:colOff>
                <xdr:row>16</xdr:row>
                <xdr:rowOff>285750</xdr:rowOff>
              </to>
            </anchor>
          </objectPr>
        </oleObject>
      </mc:Choice>
      <mc:Fallback>
        <oleObject progId="Equation.3" shapeId="14392" r:id="rId25"/>
      </mc:Fallback>
    </mc:AlternateContent>
    <mc:AlternateContent xmlns:mc="http://schemas.openxmlformats.org/markup-compatibility/2006">
      <mc:Choice Requires="x14">
        <oleObject progId="Equation.3" shapeId="14394" r:id="rId27">
          <objectPr defaultSize="0" autoLine="0" r:id="rId22">
            <anchor moveWithCells="1">
              <from>
                <xdr:col>3</xdr:col>
                <xdr:colOff>76200</xdr:colOff>
                <xdr:row>40</xdr:row>
                <xdr:rowOff>88900</xdr:rowOff>
              </from>
              <to>
                <xdr:col>3</xdr:col>
                <xdr:colOff>495300</xdr:colOff>
                <xdr:row>41</xdr:row>
                <xdr:rowOff>0</xdr:rowOff>
              </to>
            </anchor>
          </objectPr>
        </oleObject>
      </mc:Choice>
      <mc:Fallback>
        <oleObject progId="Equation.3" shapeId="14394" r:id="rId27"/>
      </mc:Fallback>
    </mc:AlternateContent>
    <mc:AlternateContent xmlns:mc="http://schemas.openxmlformats.org/markup-compatibility/2006">
      <mc:Choice Requires="x14">
        <oleObject progId="Equation.3" shapeId="14395" r:id="rId28">
          <objectPr defaultSize="0" autoLine="0" r:id="rId24">
            <anchor moveWithCells="1">
              <from>
                <xdr:col>4</xdr:col>
                <xdr:colOff>438150</xdr:colOff>
                <xdr:row>40</xdr:row>
                <xdr:rowOff>95250</xdr:rowOff>
              </from>
              <to>
                <xdr:col>5</xdr:col>
                <xdr:colOff>133350</xdr:colOff>
                <xdr:row>41</xdr:row>
                <xdr:rowOff>12700</xdr:rowOff>
              </to>
            </anchor>
          </objectPr>
        </oleObject>
      </mc:Choice>
      <mc:Fallback>
        <oleObject progId="Equation.3" shapeId="14395" r:id="rId28"/>
      </mc:Fallback>
    </mc:AlternateContent>
    <mc:AlternateContent xmlns:mc="http://schemas.openxmlformats.org/markup-compatibility/2006">
      <mc:Choice Requires="x14">
        <oleObject progId="Equation.3" shapeId="14396" r:id="rId29">
          <objectPr defaultSize="0" autoLine="0" r:id="rId26">
            <anchor moveWithCells="1">
              <from>
                <xdr:col>6</xdr:col>
                <xdr:colOff>38100</xdr:colOff>
                <xdr:row>40</xdr:row>
                <xdr:rowOff>95250</xdr:rowOff>
              </from>
              <to>
                <xdr:col>6</xdr:col>
                <xdr:colOff>457200</xdr:colOff>
                <xdr:row>41</xdr:row>
                <xdr:rowOff>12700</xdr:rowOff>
              </to>
            </anchor>
          </objectPr>
        </oleObject>
      </mc:Choice>
      <mc:Fallback>
        <oleObject progId="Equation.3" shapeId="14396" r:id="rId29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51" r:id="rId30" name="Drop Down 15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4" r:id="rId31" name="Group Box 28">
              <controlPr defaultSize="0" autoFill="0" autoPict="0">
                <anchor moveWithCells="1">
                  <from>
                    <xdr:col>0</xdr:col>
                    <xdr:colOff>133350</xdr:colOff>
                    <xdr:row>15</xdr:row>
                    <xdr:rowOff>165100</xdr:rowOff>
                  </from>
                  <to>
                    <xdr:col>1</xdr:col>
                    <xdr:colOff>685800</xdr:colOff>
                    <xdr:row>17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6" r:id="rId32" name="Option Button 30">
              <controlPr defaultSize="0" autoFill="0" autoLine="0" autoPict="0">
                <anchor moveWithCells="1">
                  <from>
                    <xdr:col>2</xdr:col>
                    <xdr:colOff>527050</xdr:colOff>
                    <xdr:row>16</xdr:row>
                    <xdr:rowOff>50800</xdr:rowOff>
                  </from>
                  <to>
                    <xdr:col>3</xdr:col>
                    <xdr:colOff>107950</xdr:colOff>
                    <xdr:row>16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7" r:id="rId33" name="Option Button 31">
              <controlPr defaultSize="0" autoFill="0" autoLine="0" autoPict="0">
                <anchor moveWithCells="1">
                  <from>
                    <xdr:col>4</xdr:col>
                    <xdr:colOff>171450</xdr:colOff>
                    <xdr:row>16</xdr:row>
                    <xdr:rowOff>50800</xdr:rowOff>
                  </from>
                  <to>
                    <xdr:col>4</xdr:col>
                    <xdr:colOff>476250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8" r:id="rId34" name="Option Button 32">
              <controlPr defaultSize="0" autoFill="0" autoLine="0" autoPict="0">
                <anchor moveWithCells="1">
                  <from>
                    <xdr:col>5</xdr:col>
                    <xdr:colOff>488950</xdr:colOff>
                    <xdr:row>16</xdr:row>
                    <xdr:rowOff>50800</xdr:rowOff>
                  </from>
                  <to>
                    <xdr:col>6</xdr:col>
                    <xdr:colOff>57150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3" r:id="rId35" name="Group Box 37">
              <controlPr defaultSize="0" autoFill="0" autoPict="0">
                <anchor moveWithCells="1">
                  <from>
                    <xdr:col>0</xdr:col>
                    <xdr:colOff>133350</xdr:colOff>
                    <xdr:row>39</xdr:row>
                    <xdr:rowOff>190500</xdr:rowOff>
                  </from>
                  <to>
                    <xdr:col>1</xdr:col>
                    <xdr:colOff>685800</xdr:colOff>
                    <xdr:row>41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5" r:id="rId36" name="Option Button 39">
              <controlPr defaultSize="0" autoFill="0" autoLine="0" autoPict="0">
                <anchor moveWithCells="1">
                  <from>
                    <xdr:col>2</xdr:col>
                    <xdr:colOff>514350</xdr:colOff>
                    <xdr:row>40</xdr:row>
                    <xdr:rowOff>69850</xdr:rowOff>
                  </from>
                  <to>
                    <xdr:col>3</xdr:col>
                    <xdr:colOff>95250</xdr:colOff>
                    <xdr:row>40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6" r:id="rId37" name="Option Button 40">
              <controlPr defaultSize="0" autoFill="0" autoLine="0" autoPict="0">
                <anchor moveWithCells="1">
                  <from>
                    <xdr:col>4</xdr:col>
                    <xdr:colOff>152400</xdr:colOff>
                    <xdr:row>40</xdr:row>
                    <xdr:rowOff>76200</xdr:rowOff>
                  </from>
                  <to>
                    <xdr:col>4</xdr:col>
                    <xdr:colOff>457200</xdr:colOff>
                    <xdr:row>40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7" r:id="rId38" name="Option Button 41">
              <controlPr defaultSize="0" autoFill="0" autoLine="0" autoPict="0">
                <anchor moveWithCells="1">
                  <from>
                    <xdr:col>5</xdr:col>
                    <xdr:colOff>488950</xdr:colOff>
                    <xdr:row>40</xdr:row>
                    <xdr:rowOff>76200</xdr:rowOff>
                  </from>
                  <to>
                    <xdr:col>6</xdr:col>
                    <xdr:colOff>57150</xdr:colOff>
                    <xdr:row>40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9" r:id="rId39" name="Group Box 53">
              <controlPr defaultSize="0" autoFill="0" autoPict="0">
                <anchor moveWithCells="1">
                  <from>
                    <xdr:col>2</xdr:col>
                    <xdr:colOff>323850</xdr:colOff>
                    <xdr:row>15</xdr:row>
                    <xdr:rowOff>165100</xdr:rowOff>
                  </from>
                  <to>
                    <xdr:col>7</xdr:col>
                    <xdr:colOff>0</xdr:colOff>
                    <xdr:row>17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3" r:id="rId40" name="Group Box 57">
              <controlPr defaultSize="0" autoFill="0" autoPict="0">
                <anchor moveWithCells="1">
                  <from>
                    <xdr:col>2</xdr:col>
                    <xdr:colOff>323850</xdr:colOff>
                    <xdr:row>39</xdr:row>
                    <xdr:rowOff>190500</xdr:rowOff>
                  </from>
                  <to>
                    <xdr:col>7</xdr:col>
                    <xdr:colOff>0</xdr:colOff>
                    <xdr:row>41</xdr:row>
                    <xdr:rowOff>146050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/>
  <dimension ref="A1:Q59"/>
  <sheetViews>
    <sheetView showGridLines="0" workbookViewId="0">
      <pane ySplit="2" topLeftCell="A3" activePane="bottomLeft" state="frozen"/>
      <selection activeCell="L15" sqref="L15"/>
      <selection pane="bottomLeft" activeCell="K1" sqref="K1"/>
    </sheetView>
  </sheetViews>
  <sheetFormatPr defaultColWidth="10.7265625" defaultRowHeight="24.4" customHeight="1" x14ac:dyDescent="0.25"/>
  <cols>
    <col min="1" max="4" width="10.7265625" style="84"/>
    <col min="5" max="6" width="10.7265625" style="84" customWidth="1"/>
    <col min="7" max="9" width="10.7265625" style="84"/>
    <col min="10" max="10" width="10.7265625" style="84" customWidth="1"/>
    <col min="11" max="16384" width="10.7265625" style="84"/>
  </cols>
  <sheetData>
    <row r="1" spans="1:16" ht="24.4" customHeight="1" x14ac:dyDescent="0.25">
      <c r="A1" s="290" t="s">
        <v>43</v>
      </c>
      <c r="B1" s="117"/>
      <c r="C1" s="117"/>
      <c r="D1" s="117"/>
      <c r="E1" s="117"/>
    </row>
    <row r="2" spans="1:16" ht="24.4" customHeight="1" x14ac:dyDescent="0.25">
      <c r="B2" s="281" t="s">
        <v>114</v>
      </c>
      <c r="C2" s="95"/>
      <c r="D2" s="95"/>
      <c r="E2" s="94"/>
      <c r="F2" s="94"/>
      <c r="G2" s="94"/>
      <c r="H2" s="94"/>
      <c r="I2" s="94"/>
      <c r="J2" s="94"/>
      <c r="K2" s="94"/>
      <c r="L2" s="94"/>
    </row>
    <row r="3" spans="1:16" ht="24.4" customHeight="1" thickBot="1" x14ac:dyDescent="0.3">
      <c r="A3" s="120" t="s">
        <v>52</v>
      </c>
      <c r="B3" s="121"/>
      <c r="C3" s="91"/>
      <c r="D3" s="91"/>
      <c r="E3" s="91"/>
      <c r="F3" s="120" t="s">
        <v>53</v>
      </c>
      <c r="G3" s="121"/>
    </row>
    <row r="4" spans="1:16" ht="24.4" customHeight="1" x14ac:dyDescent="0.25">
      <c r="A4" s="145" t="s">
        <v>44</v>
      </c>
      <c r="B4" s="146"/>
      <c r="C4" s="173" t="s">
        <v>136</v>
      </c>
      <c r="D4" s="151"/>
      <c r="F4" s="145" t="s">
        <v>45</v>
      </c>
      <c r="G4" s="146"/>
      <c r="H4" s="173" t="s">
        <v>150</v>
      </c>
      <c r="I4" s="151"/>
      <c r="K4" s="182" t="s">
        <v>123</v>
      </c>
    </row>
    <row r="5" spans="1:16" ht="24.4" customHeight="1" thickBot="1" x14ac:dyDescent="0.3">
      <c r="A5" s="206">
        <f ca="1">COUNT(INDIRECT(pomocny!S6))</f>
        <v>15</v>
      </c>
      <c r="B5" s="169">
        <f ca="1">AVERAGE(INDIRECT(pomocny!S6))</f>
        <v>14.979999999999999</v>
      </c>
      <c r="C5" s="169">
        <f ca="1">STDEV(INDIRECT(pomocny!S6))</f>
        <v>0.21223302557061474</v>
      </c>
      <c r="D5" s="170">
        <f ca="1">VAR(INDIRECT(pomocny!S6))</f>
        <v>4.5042857142857211E-2</v>
      </c>
      <c r="F5" s="207">
        <f ca="1">COUNT(INDIRECT(pomocny!V6))</f>
        <v>50</v>
      </c>
      <c r="G5" s="208">
        <f ca="1">AVERAGE(INDIRECT(pomocny!V6))</f>
        <v>81.900000000000006</v>
      </c>
      <c r="H5" s="208">
        <f ca="1">STDEV(INDIRECT(pomocny!V6))</f>
        <v>1.4880476182856905</v>
      </c>
      <c r="I5" s="209">
        <f ca="1">VAR(INDIRECT(pomocny!V6))</f>
        <v>2.2142857142857162</v>
      </c>
      <c r="K5" s="181">
        <v>0.05</v>
      </c>
    </row>
    <row r="6" spans="1:16" customFormat="1" ht="24.4" customHeight="1" x14ac:dyDescent="0.25">
      <c r="M6" s="84"/>
      <c r="N6" s="84"/>
      <c r="O6" s="84"/>
      <c r="P6" s="84"/>
    </row>
    <row r="7" spans="1:16" ht="24.4" customHeight="1" x14ac:dyDescent="0.25">
      <c r="A7" s="234" t="s">
        <v>177</v>
      </c>
      <c r="B7" s="91"/>
      <c r="C7" s="91"/>
      <c r="E7" s="91"/>
    </row>
    <row r="8" spans="1:16" ht="24.4" customHeight="1" thickBot="1" x14ac:dyDescent="0.3">
      <c r="A8" s="234"/>
      <c r="B8" s="91"/>
      <c r="C8" s="91"/>
      <c r="E8" s="91"/>
      <c r="K8" s="288" t="s">
        <v>142</v>
      </c>
      <c r="L8" s="288"/>
    </row>
    <row r="9" spans="1:16" ht="24.4" customHeight="1" x14ac:dyDescent="0.25">
      <c r="A9" s="234"/>
      <c r="B9" s="91"/>
      <c r="C9" s="91"/>
      <c r="E9" s="91"/>
      <c r="H9" s="353">
        <v>1</v>
      </c>
      <c r="K9" s="183" t="s">
        <v>138</v>
      </c>
      <c r="L9" s="189" t="s">
        <v>139</v>
      </c>
      <c r="M9" s="91"/>
      <c r="N9" s="91"/>
    </row>
    <row r="10" spans="1:16" ht="24.4" customHeight="1" thickBot="1" x14ac:dyDescent="0.3">
      <c r="A10" s="234"/>
      <c r="B10" s="91"/>
      <c r="C10" s="91"/>
      <c r="E10" s="91"/>
      <c r="K10" s="190">
        <f ca="1">A5-1</f>
        <v>14</v>
      </c>
      <c r="L10" s="191">
        <f ca="1">F5-1</f>
        <v>49</v>
      </c>
      <c r="M10" s="91"/>
      <c r="N10" s="91"/>
    </row>
    <row r="11" spans="1:16" ht="24.4" customHeight="1" thickBot="1" x14ac:dyDescent="0.3">
      <c r="A11" s="553" t="s">
        <v>18</v>
      </c>
      <c r="B11" s="551" t="s">
        <v>192</v>
      </c>
      <c r="C11" s="551" t="s">
        <v>197</v>
      </c>
      <c r="D11" s="585" t="s">
        <v>90</v>
      </c>
      <c r="E11" s="585"/>
      <c r="F11" s="551" t="s">
        <v>86</v>
      </c>
      <c r="G11" s="552" t="s">
        <v>19</v>
      </c>
      <c r="H11" s="151" t="s">
        <v>20</v>
      </c>
      <c r="K11" s="186" t="s">
        <v>144</v>
      </c>
      <c r="L11" s="187" t="s">
        <v>145</v>
      </c>
      <c r="M11" s="187" t="s">
        <v>146</v>
      </c>
      <c r="N11" s="188" t="s">
        <v>143</v>
      </c>
    </row>
    <row r="12" spans="1:16" ht="24.4" customHeight="1" thickBot="1" x14ac:dyDescent="0.3">
      <c r="A12" s="345">
        <f>1-K5</f>
        <v>0.95</v>
      </c>
      <c r="B12" s="149">
        <f ca="1">D5/I5</f>
        <v>2.034193548387098E-2</v>
      </c>
      <c r="C12" s="331" t="str">
        <f ca="1">IF(F12&lt;=K5,"ano","ne")</f>
        <v>ano</v>
      </c>
      <c r="D12" s="149">
        <f ca="1">IF(H9=1,K12,IF(H9=2,M12,L12))</f>
        <v>0.37859083401041871</v>
      </c>
      <c r="E12" s="149">
        <f ca="1">IF(H9=1,N12,"")</f>
        <v>2.1462717160551543</v>
      </c>
      <c r="F12" s="149">
        <f ca="1">IF(H9=1,2*MIN(FDIST(B12,K10,L10),1-FDIST(B12,K10,L10)),IF(H9=2,FDIST(B12,K10,L10),1-FDIST(B12,K10,L10)))</f>
        <v>8.84743389661935E-10</v>
      </c>
      <c r="G12" s="149" t="str">
        <f ca="1">IF(C12="ano","zamítá se","nezamítá se")</f>
        <v>zamítá se</v>
      </c>
      <c r="H12" s="332" t="str">
        <f ca="1">IF(C12="ano","se přijme","x")</f>
        <v>se přijme</v>
      </c>
      <c r="I12" s="597" t="str">
        <f ca="1">IF(H9=1,IF(C12="ano","heteroskedasticita","homoskedasticita"),"")</f>
        <v>heteroskedasticita</v>
      </c>
      <c r="J12" s="598"/>
      <c r="K12" s="172">
        <f ca="1">FINV(1-K5/2,K10,L10)</f>
        <v>0.37859083401041871</v>
      </c>
      <c r="L12" s="169">
        <f ca="1">FINV(1-K5,K10,L10)</f>
        <v>0.44590339989111927</v>
      </c>
      <c r="M12" s="169">
        <f ca="1">FINV(K5,K10,L10)</f>
        <v>1.8991971686035483</v>
      </c>
      <c r="N12" s="170">
        <f ca="1">FINV(K5/2,K10,L10)</f>
        <v>2.1462717160551543</v>
      </c>
    </row>
    <row r="13" spans="1:16" ht="24.4" customHeight="1" x14ac:dyDescent="0.25">
      <c r="A13" s="91"/>
      <c r="B13" s="91"/>
      <c r="C13" s="91"/>
      <c r="D13" s="328"/>
      <c r="E13" s="596"/>
      <c r="F13" s="596"/>
      <c r="G13" s="328"/>
      <c r="H13" s="91"/>
      <c r="I13" s="91"/>
      <c r="J13" s="91"/>
      <c r="K13" s="91"/>
    </row>
    <row r="14" spans="1:16" ht="24.4" customHeight="1" x14ac:dyDescent="0.25">
      <c r="A14" s="233" t="s">
        <v>190</v>
      </c>
      <c r="B14" s="91"/>
      <c r="C14" s="91"/>
      <c r="D14" s="91"/>
      <c r="E14" s="91"/>
      <c r="F14" s="90"/>
      <c r="G14" s="91"/>
    </row>
    <row r="15" spans="1:16" ht="24.4" customHeight="1" x14ac:dyDescent="0.25">
      <c r="A15" s="234"/>
      <c r="B15" s="91"/>
      <c r="C15" s="91"/>
      <c r="E15" s="91"/>
      <c r="K15" s="184"/>
    </row>
    <row r="16" spans="1:16" ht="24.4" customHeight="1" x14ac:dyDescent="0.25">
      <c r="A16" s="234"/>
      <c r="B16" s="91"/>
      <c r="C16" s="91"/>
      <c r="E16" s="91"/>
      <c r="H16" s="353">
        <v>2</v>
      </c>
    </row>
    <row r="17" spans="1:14" ht="24.4" customHeight="1" thickBot="1" x14ac:dyDescent="0.3">
      <c r="A17" s="234"/>
      <c r="B17" s="91"/>
      <c r="C17" s="91"/>
      <c r="E17" s="91"/>
      <c r="I17" s="287" t="s">
        <v>127</v>
      </c>
    </row>
    <row r="18" spans="1:14" ht="24.4" customHeight="1" x14ac:dyDescent="0.25">
      <c r="A18" s="145" t="s">
        <v>18</v>
      </c>
      <c r="B18" s="173" t="s">
        <v>73</v>
      </c>
      <c r="C18" s="173" t="s">
        <v>194</v>
      </c>
      <c r="D18" s="173" t="s">
        <v>141</v>
      </c>
      <c r="E18" s="173" t="s">
        <v>86</v>
      </c>
      <c r="F18" s="146" t="s">
        <v>19</v>
      </c>
      <c r="G18" s="151" t="s">
        <v>20</v>
      </c>
      <c r="I18" s="165" t="s">
        <v>140</v>
      </c>
      <c r="J18" s="166" t="s">
        <v>124</v>
      </c>
      <c r="K18" s="167" t="s">
        <v>126</v>
      </c>
    </row>
    <row r="19" spans="1:14" ht="24.4" customHeight="1" thickBot="1" x14ac:dyDescent="0.3">
      <c r="A19" s="344">
        <f>1-K5</f>
        <v>0.95</v>
      </c>
      <c r="B19" s="149">
        <f ca="1">(B5-G5)/B20*SQRT((A5*F5)/(A5+F5))</f>
        <v>-172.71374011113184</v>
      </c>
      <c r="C19" s="331" t="str">
        <f ca="1">IF(E19&lt;=K5,"ano","ne")</f>
        <v>ne</v>
      </c>
      <c r="D19" s="149">
        <f ca="1">IF(H16=1,K19,IF(H16=2,J19,-J19))</f>
        <v>1.6694022217068125</v>
      </c>
      <c r="E19" s="149">
        <f ca="1">IF(H16=1,IF(B19&lt;0,2*MIN(1-TDIST(-B19,I19,1),TDIST(-B19,I19,1)),2*MIN(1-TDIST(B19,I19,1),TDIST(B19,I19,1))),IF(H16=2,IF(B19&lt;0,1-TDIST(-B19,I19,1),TDIST(B19,I19,1)),IF(B19&lt;0,TDIST(-B19,I19,1),1-TDIST(B19,I19,1))))</f>
        <v>1</v>
      </c>
      <c r="F19" s="149" t="str">
        <f ca="1">IF(C19="ano","zamítá se","nezamítá se")</f>
        <v>nezamítá se</v>
      </c>
      <c r="G19" s="332" t="str">
        <f ca="1">IF(C19="ano","se přijme","x")</f>
        <v>x</v>
      </c>
      <c r="I19" s="210">
        <f ca="1">A5+F5-2</f>
        <v>63</v>
      </c>
      <c r="J19" s="169">
        <f ca="1">TINV(2*K5,I19)</f>
        <v>1.6694022217068125</v>
      </c>
      <c r="K19" s="170">
        <f ca="1">TINV(K5,I19)</f>
        <v>1.9983405425207412</v>
      </c>
    </row>
    <row r="20" spans="1:14" ht="24.4" customHeight="1" thickBot="1" x14ac:dyDescent="0.3">
      <c r="A20" s="185" t="s">
        <v>21</v>
      </c>
      <c r="B20" s="175">
        <f ca="1">(((A5-1)*D5+(F5-1)*I5)/(A5+F5-2))^0.5</f>
        <v>1.3161427529078096</v>
      </c>
      <c r="C20" s="91"/>
      <c r="D20" s="91"/>
      <c r="E20" s="91"/>
      <c r="F20" s="90"/>
      <c r="G20" s="91"/>
    </row>
    <row r="21" spans="1:14" ht="24.4" customHeight="1" x14ac:dyDescent="0.25">
      <c r="A21" s="93"/>
      <c r="B21" s="89"/>
      <c r="C21" s="89"/>
      <c r="D21" s="90"/>
      <c r="E21" s="90"/>
      <c r="F21" s="90"/>
      <c r="G21" s="90"/>
    </row>
    <row r="22" spans="1:14" ht="24.4" customHeight="1" x14ac:dyDescent="0.25">
      <c r="A22" s="233" t="s">
        <v>191</v>
      </c>
      <c r="B22" s="91"/>
      <c r="C22" s="91"/>
      <c r="D22" s="91"/>
      <c r="E22" s="91"/>
      <c r="F22" s="81"/>
      <c r="G22" s="91"/>
    </row>
    <row r="23" spans="1:14" ht="24.4" customHeight="1" x14ac:dyDescent="0.25">
      <c r="A23" s="234"/>
      <c r="B23" s="91"/>
      <c r="C23" s="91"/>
      <c r="E23" s="91"/>
    </row>
    <row r="24" spans="1:14" ht="24.4" customHeight="1" x14ac:dyDescent="0.25">
      <c r="A24" s="234"/>
      <c r="B24" s="91"/>
      <c r="C24" s="91"/>
      <c r="E24" s="91"/>
      <c r="H24" s="353">
        <v>1</v>
      </c>
    </row>
    <row r="25" spans="1:14" ht="24.4" customHeight="1" thickBot="1" x14ac:dyDescent="0.3">
      <c r="A25" s="234"/>
      <c r="B25" s="91"/>
      <c r="C25" s="91"/>
      <c r="E25" s="91"/>
      <c r="I25" s="287" t="s">
        <v>147</v>
      </c>
      <c r="J25" s="184"/>
      <c r="K25" s="91"/>
    </row>
    <row r="26" spans="1:14" ht="24.4" customHeight="1" x14ac:dyDescent="0.25">
      <c r="A26" s="145" t="s">
        <v>18</v>
      </c>
      <c r="B26" s="173" t="s">
        <v>73</v>
      </c>
      <c r="C26" s="173" t="s">
        <v>194</v>
      </c>
      <c r="D26" s="173" t="s">
        <v>141</v>
      </c>
      <c r="E26" s="173" t="s">
        <v>86</v>
      </c>
      <c r="F26" s="146" t="s">
        <v>19</v>
      </c>
      <c r="G26" s="151" t="s">
        <v>20</v>
      </c>
      <c r="I26" s="171" t="s">
        <v>137</v>
      </c>
      <c r="J26" s="166" t="s">
        <v>148</v>
      </c>
      <c r="K26" s="167" t="s">
        <v>149</v>
      </c>
    </row>
    <row r="27" spans="1:14" ht="24.4" customHeight="1" thickBot="1" x14ac:dyDescent="0.3">
      <c r="A27" s="344">
        <f>1-K5</f>
        <v>0.95</v>
      </c>
      <c r="B27" s="149">
        <f ca="1">(B5-G5)/SQRT(D5/A5+I5/F5)</f>
        <v>-307.73566743656409</v>
      </c>
      <c r="C27" s="331" t="str">
        <f ca="1">IF(E27&lt;=K5,"ano","ne")</f>
        <v>ano</v>
      </c>
      <c r="D27" s="149">
        <f ca="1">IF(H24=1,K27,IF(H24=2,J27,-J27))</f>
        <v>2.0048792881880577</v>
      </c>
      <c r="E27" s="149">
        <f ca="1">IF(H24=1,IF(B27&lt;0,2*MIN(1-TDIST(-B27,I27,1),TDIST(-B27,I27,1)),2*MIN(1-TDIST(B27,I27,1),TDIST(B27,I27,1))),IF(H24=2,IF(B27&lt;0,1-TDIST(-B27,I27,1),TDIST(B27,I27,1)),IF(B27&lt;0,TDIST(-B27,I27,1),1-TDIST(B27,I27,1))))</f>
        <v>2.7554723422817818E-89</v>
      </c>
      <c r="F27" s="149" t="str">
        <f ca="1">IF(C27="ano","zamítá se","nezamítá se")</f>
        <v>zamítá se</v>
      </c>
      <c r="G27" s="332" t="str">
        <f ca="1">IF(C27="ano","se přijme","x")</f>
        <v>se přijme</v>
      </c>
      <c r="I27" s="210">
        <f ca="1">INT((D5/A5+I5/F5)^2/(1/(A5-1)*(D5/A5)^2+1/(F5-1)*(I5/F5)^2))</f>
        <v>54</v>
      </c>
      <c r="J27" s="169">
        <f ca="1">TINV(2*K5,I27)</f>
        <v>1.6735649063521589</v>
      </c>
      <c r="K27" s="170">
        <f ca="1">TINV(K5,I27)</f>
        <v>2.0048792881880577</v>
      </c>
    </row>
    <row r="28" spans="1:14" ht="24.4" customHeight="1" x14ac:dyDescent="0.25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</row>
    <row r="29" spans="1:14" ht="24.4" customHeight="1" x14ac:dyDescent="0.25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</row>
    <row r="30" spans="1:14" ht="24.4" customHeight="1" thickBot="1" x14ac:dyDescent="0.3">
      <c r="A30" s="347"/>
      <c r="B30" s="347"/>
      <c r="C30" s="34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</row>
    <row r="32" spans="1:14" ht="24.4" customHeight="1" x14ac:dyDescent="0.25">
      <c r="A32" s="304" t="s">
        <v>183</v>
      </c>
    </row>
    <row r="33" spans="1:17" ht="24.4" customHeight="1" x14ac:dyDescent="0.25">
      <c r="A33" s="234" t="s">
        <v>189</v>
      </c>
    </row>
    <row r="34" spans="1:17" ht="24.4" customHeight="1" thickBot="1" x14ac:dyDescent="0.3">
      <c r="A34" s="120" t="s">
        <v>52</v>
      </c>
      <c r="B34" s="121"/>
      <c r="C34" s="91"/>
      <c r="D34" s="91"/>
      <c r="E34" s="91"/>
      <c r="F34" s="120" t="s">
        <v>53</v>
      </c>
      <c r="G34" s="121"/>
      <c r="M34" s="176" t="s">
        <v>185</v>
      </c>
      <c r="N34" s="176"/>
    </row>
    <row r="35" spans="1:17" ht="24.4" customHeight="1" x14ac:dyDescent="0.25">
      <c r="A35" s="145" t="s">
        <v>44</v>
      </c>
      <c r="B35" s="146"/>
      <c r="C35" s="198" t="s">
        <v>136</v>
      </c>
      <c r="D35" s="324"/>
      <c r="F35" s="145" t="s">
        <v>45</v>
      </c>
      <c r="G35" s="146"/>
      <c r="H35" s="198" t="s">
        <v>150</v>
      </c>
      <c r="I35" s="324"/>
      <c r="K35" s="182" t="s">
        <v>123</v>
      </c>
      <c r="M35" s="143" t="s">
        <v>186</v>
      </c>
      <c r="N35" s="326">
        <v>0.25600000000000001</v>
      </c>
    </row>
    <row r="36" spans="1:17" ht="24.4" customHeight="1" thickBot="1" x14ac:dyDescent="0.3">
      <c r="A36" s="313">
        <v>8</v>
      </c>
      <c r="B36" s="311">
        <v>1.5089999999999999</v>
      </c>
      <c r="C36" s="320">
        <v>5.0999999999999997E-2</v>
      </c>
      <c r="D36" s="323">
        <f>C36^2</f>
        <v>2.6009999999999996E-3</v>
      </c>
      <c r="E36" s="305"/>
      <c r="F36" s="303">
        <v>10</v>
      </c>
      <c r="G36" s="311">
        <v>1.524</v>
      </c>
      <c r="H36" s="320">
        <v>0.115</v>
      </c>
      <c r="I36" s="323">
        <f>H36^2</f>
        <v>1.3225000000000001E-2</v>
      </c>
      <c r="K36" s="181">
        <v>0.05</v>
      </c>
      <c r="M36" s="325" t="s">
        <v>187</v>
      </c>
      <c r="N36" s="327">
        <f>SQRT(N35)</f>
        <v>0.50596442562694066</v>
      </c>
    </row>
    <row r="37" spans="1:17" ht="24.4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 ht="24.4" customHeight="1" x14ac:dyDescent="0.25">
      <c r="A38" s="234" t="s">
        <v>177</v>
      </c>
      <c r="B38" s="91"/>
      <c r="C38" s="91"/>
      <c r="E38" s="91"/>
    </row>
    <row r="39" spans="1:17" ht="24.4" customHeight="1" thickBot="1" x14ac:dyDescent="0.3">
      <c r="A39" s="234"/>
      <c r="B39" s="91"/>
      <c r="C39" s="91"/>
      <c r="E39" s="91"/>
      <c r="K39" s="288" t="s">
        <v>142</v>
      </c>
      <c r="L39" s="288"/>
    </row>
    <row r="40" spans="1:17" ht="24.4" customHeight="1" x14ac:dyDescent="0.25">
      <c r="A40" s="234"/>
      <c r="B40" s="91"/>
      <c r="C40" s="91"/>
      <c r="E40" s="91"/>
      <c r="H40" s="353">
        <v>1</v>
      </c>
      <c r="K40" s="183" t="s">
        <v>138</v>
      </c>
      <c r="L40" s="189" t="s">
        <v>139</v>
      </c>
      <c r="M40" s="91"/>
      <c r="N40" s="91"/>
    </row>
    <row r="41" spans="1:17" ht="24.4" customHeight="1" thickBot="1" x14ac:dyDescent="0.3">
      <c r="A41" s="234"/>
      <c r="B41" s="91"/>
      <c r="C41" s="91"/>
      <c r="E41" s="91"/>
      <c r="K41" s="190">
        <f>A36-1</f>
        <v>7</v>
      </c>
      <c r="L41" s="191">
        <f>F36-1</f>
        <v>9</v>
      </c>
      <c r="M41" s="91"/>
      <c r="N41" s="91"/>
    </row>
    <row r="42" spans="1:17" ht="24.4" customHeight="1" x14ac:dyDescent="0.25">
      <c r="A42" s="145" t="s">
        <v>18</v>
      </c>
      <c r="B42" s="173" t="s">
        <v>192</v>
      </c>
      <c r="C42" s="173" t="s">
        <v>197</v>
      </c>
      <c r="D42" s="585" t="s">
        <v>90</v>
      </c>
      <c r="E42" s="585"/>
      <c r="F42" s="173" t="s">
        <v>86</v>
      </c>
      <c r="G42" s="146" t="s">
        <v>19</v>
      </c>
      <c r="H42" s="151" t="s">
        <v>20</v>
      </c>
      <c r="K42" s="186" t="s">
        <v>144</v>
      </c>
      <c r="L42" s="187" t="s">
        <v>145</v>
      </c>
      <c r="M42" s="187" t="s">
        <v>146</v>
      </c>
      <c r="N42" s="188" t="s">
        <v>143</v>
      </c>
    </row>
    <row r="43" spans="1:17" ht="24.4" customHeight="1" thickBot="1" x14ac:dyDescent="0.3">
      <c r="A43" s="345">
        <f>1-K36</f>
        <v>0.95</v>
      </c>
      <c r="B43" s="149">
        <f>D36/I36</f>
        <v>0.1966729678638941</v>
      </c>
      <c r="C43" s="331" t="str">
        <f>IF(F43&lt;=K36,"ano","ne")</f>
        <v>ano</v>
      </c>
      <c r="D43" s="149">
        <f>IF(H40=1,K43,IF(H40=2,M43,L43))</f>
        <v>0.20733049797574632</v>
      </c>
      <c r="E43" s="149">
        <f>IF(H40=1,N43,"")</f>
        <v>4.1970466369455171</v>
      </c>
      <c r="F43" s="149">
        <f>IF(H40=1,2*MIN(FDIST(B43,K41,L41),1-FDIST(B43,K41,L41)),IF(H40=2,FDIST(B43,K41,L41),1-FDIST(B43,K41,L41)))</f>
        <v>4.3419538315478956E-2</v>
      </c>
      <c r="G43" s="149" t="str">
        <f>IF(C43="ano","zamítá se","nezamítá se")</f>
        <v>zamítá se</v>
      </c>
      <c r="H43" s="332" t="str">
        <f>IF(C43="ano","se přijme","x")</f>
        <v>se přijme</v>
      </c>
      <c r="I43" s="594" t="str">
        <f>IF(H40=1,IF(C43="ano","heteroskedasticita","homoskedasticita"),"")</f>
        <v>heteroskedasticita</v>
      </c>
      <c r="J43" s="595"/>
      <c r="K43" s="172">
        <f>FINV(1-K36/2,K41,L41)</f>
        <v>0.20733049797574632</v>
      </c>
      <c r="L43" s="169">
        <f>FINV(1-K36,K41,L41)</f>
        <v>0.2719848999119876</v>
      </c>
      <c r="M43" s="169">
        <f>FINV(K36,K41,L41)</f>
        <v>3.2927458389171207</v>
      </c>
      <c r="N43" s="170">
        <f>FINV(K36/2,K41,L41)</f>
        <v>4.1970466369455171</v>
      </c>
    </row>
    <row r="44" spans="1:17" ht="24.4" customHeight="1" x14ac:dyDescent="0.25">
      <c r="A44" s="234"/>
      <c r="B44" s="91"/>
      <c r="C44" s="91"/>
      <c r="E44" s="91"/>
    </row>
    <row r="45" spans="1:17" ht="24.4" customHeight="1" x14ac:dyDescent="0.25">
      <c r="A45" s="233" t="s">
        <v>190</v>
      </c>
      <c r="B45" s="91"/>
      <c r="C45" s="91"/>
      <c r="D45" s="91"/>
      <c r="E45" s="91"/>
      <c r="F45" s="90"/>
      <c r="G45" s="91"/>
    </row>
    <row r="46" spans="1:17" ht="24.4" customHeight="1" x14ac:dyDescent="0.25">
      <c r="A46" s="234"/>
      <c r="B46" s="91"/>
      <c r="C46" s="91"/>
      <c r="E46" s="91"/>
    </row>
    <row r="47" spans="1:17" ht="24.4" customHeight="1" x14ac:dyDescent="0.25">
      <c r="A47" s="234"/>
      <c r="B47" s="91"/>
      <c r="C47" s="91"/>
      <c r="E47" s="91"/>
      <c r="H47" s="353">
        <v>1</v>
      </c>
    </row>
    <row r="48" spans="1:17" ht="24.4" customHeight="1" thickBot="1" x14ac:dyDescent="0.3">
      <c r="A48" s="234"/>
      <c r="B48" s="91"/>
      <c r="C48" s="91"/>
      <c r="E48" s="91"/>
      <c r="I48" s="287" t="s">
        <v>127</v>
      </c>
      <c r="J48" s="184"/>
    </row>
    <row r="49" spans="1:11" ht="24.4" customHeight="1" x14ac:dyDescent="0.25">
      <c r="A49" s="145" t="s">
        <v>18</v>
      </c>
      <c r="B49" s="173" t="s">
        <v>73</v>
      </c>
      <c r="C49" s="173" t="s">
        <v>194</v>
      </c>
      <c r="D49" s="173" t="s">
        <v>141</v>
      </c>
      <c r="E49" s="173" t="s">
        <v>86</v>
      </c>
      <c r="F49" s="146" t="s">
        <v>19</v>
      </c>
      <c r="G49" s="151" t="s">
        <v>20</v>
      </c>
      <c r="I49" s="165" t="s">
        <v>140</v>
      </c>
      <c r="J49" s="166" t="s">
        <v>124</v>
      </c>
      <c r="K49" s="167" t="s">
        <v>126</v>
      </c>
    </row>
    <row r="50" spans="1:11" ht="24.4" customHeight="1" thickBot="1" x14ac:dyDescent="0.3">
      <c r="A50" s="344">
        <f>1-K36</f>
        <v>0.95</v>
      </c>
      <c r="B50" s="149">
        <f>(B36-G36)/B51*SQRT((A36*F36)/(A36+F36))</f>
        <v>-0.3414540709861037</v>
      </c>
      <c r="C50" s="331" t="str">
        <f>IF(E50&lt;=K36,"ano","ne")</f>
        <v>ne</v>
      </c>
      <c r="D50" s="149">
        <f>IF(H47=1,K50,IF(H47=2,J50,-J50))</f>
        <v>2.119905299221255</v>
      </c>
      <c r="E50" s="149">
        <f>IF(H47=1,IF(B50&lt;0,2*MIN(1-TDIST(-B50,I50,1),TDIST(-B50,I50,1)),2*MIN(1-TDIST(B50,I50,1),TDIST(B50,I50,1))),IF(H47=2,IF(B50&lt;0,1-TDIST(-B50,I50,1),TDIST(B50,I50,1)),IF(B50&lt;0,TDIST(-B50,I50,1),1-TDIST(B50,I50,1))))</f>
        <v>0.7372049606649852</v>
      </c>
      <c r="F50" s="149" t="str">
        <f>IF(C50="ano","zamítá se","nezamítá se")</f>
        <v>nezamítá se</v>
      </c>
      <c r="G50" s="332" t="str">
        <f>IF(C50="ano","se přijme","x")</f>
        <v>x</v>
      </c>
      <c r="I50" s="210">
        <f>A36+F36-2</f>
        <v>16</v>
      </c>
      <c r="J50" s="169">
        <f>TINV(2*K36,I50)</f>
        <v>1.7458836762762506</v>
      </c>
      <c r="K50" s="170">
        <f>TINV(K36,I50)</f>
        <v>2.119905299221255</v>
      </c>
    </row>
    <row r="51" spans="1:11" ht="24.4" customHeight="1" thickBot="1" x14ac:dyDescent="0.3">
      <c r="A51" s="185" t="s">
        <v>21</v>
      </c>
      <c r="B51" s="175">
        <f>(((A36-1)*D36+(F36-1)*I36)/(A36+F36-2))^0.5</f>
        <v>9.2612094242598794E-2</v>
      </c>
      <c r="C51" s="91"/>
      <c r="D51" s="91"/>
      <c r="E51" s="91"/>
      <c r="F51" s="90"/>
      <c r="G51" s="91"/>
    </row>
    <row r="52" spans="1:11" ht="24.4" customHeight="1" x14ac:dyDescent="0.25">
      <c r="A52" s="93"/>
      <c r="B52" s="89"/>
      <c r="C52" s="89"/>
      <c r="D52" s="90"/>
      <c r="E52" s="90"/>
      <c r="F52" s="90"/>
      <c r="G52" s="90"/>
    </row>
    <row r="53" spans="1:11" ht="24.4" customHeight="1" x14ac:dyDescent="0.25">
      <c r="A53" s="233" t="s">
        <v>191</v>
      </c>
      <c r="B53" s="91"/>
      <c r="C53" s="91"/>
      <c r="D53" s="91"/>
      <c r="E53" s="91"/>
      <c r="F53" s="81"/>
      <c r="G53" s="91"/>
    </row>
    <row r="54" spans="1:11" ht="24.4" customHeight="1" x14ac:dyDescent="0.25">
      <c r="A54" s="234"/>
      <c r="B54" s="91"/>
      <c r="C54" s="91"/>
      <c r="E54" s="91"/>
    </row>
    <row r="55" spans="1:11" ht="24.4" customHeight="1" x14ac:dyDescent="0.25">
      <c r="A55" s="234"/>
      <c r="B55" s="91"/>
      <c r="C55" s="91"/>
      <c r="E55" s="91"/>
      <c r="H55" s="353">
        <v>1</v>
      </c>
    </row>
    <row r="56" spans="1:11" ht="24.4" customHeight="1" thickBot="1" x14ac:dyDescent="0.3">
      <c r="A56" s="234"/>
      <c r="B56" s="91"/>
      <c r="C56" s="91"/>
      <c r="E56" s="91"/>
      <c r="I56" s="287" t="s">
        <v>147</v>
      </c>
      <c r="J56" s="184"/>
      <c r="K56" s="91"/>
    </row>
    <row r="57" spans="1:11" ht="24.4" customHeight="1" x14ac:dyDescent="0.25">
      <c r="A57" s="145" t="s">
        <v>18</v>
      </c>
      <c r="B57" s="173" t="s">
        <v>73</v>
      </c>
      <c r="C57" s="173" t="s">
        <v>194</v>
      </c>
      <c r="D57" s="173" t="s">
        <v>141</v>
      </c>
      <c r="E57" s="173" t="s">
        <v>86</v>
      </c>
      <c r="F57" s="146" t="s">
        <v>19</v>
      </c>
      <c r="G57" s="151" t="s">
        <v>20</v>
      </c>
      <c r="I57" s="171" t="s">
        <v>137</v>
      </c>
      <c r="J57" s="166" t="s">
        <v>148</v>
      </c>
      <c r="K57" s="167" t="s">
        <v>149</v>
      </c>
    </row>
    <row r="58" spans="1:11" ht="24.4" customHeight="1" thickBot="1" x14ac:dyDescent="0.3">
      <c r="A58" s="344">
        <f>1-K36</f>
        <v>0.95</v>
      </c>
      <c r="B58" s="149">
        <f>(B36-G36)/SQRT(D36/A36+I36/F36)</f>
        <v>-0.36954052590791175</v>
      </c>
      <c r="C58" s="331" t="str">
        <f>IF(E58&lt;=K36,"ano","ne")</f>
        <v>ne</v>
      </c>
      <c r="D58" s="149">
        <f>IF(H55=1,K58,IF(H55=2,J58,-J58))</f>
        <v>2.1788128296672284</v>
      </c>
      <c r="E58" s="149">
        <f>IF(H55=1,IF(B58&lt;0,2*MIN(1-TDIST(-B58,I58,1),TDIST(-B58,I58,1)),2*MIN(1-TDIST(B58,I58,1),TDIST(B58,I58,1))),IF(H55=2,IF(B58&lt;0,1-TDIST(-B58,I58,1),TDIST(B58,I58,1)),IF(B58&lt;0,TDIST(-B58,I58,1),1-TDIST(B58,I58,1))))</f>
        <v>0.71816371096885301</v>
      </c>
      <c r="F58" s="149" t="str">
        <f>IF(C58="ano","zamítá se","nezamítá se")</f>
        <v>nezamítá se</v>
      </c>
      <c r="G58" s="332" t="str">
        <f>IF(C58="ano","se přijme","x")</f>
        <v>x</v>
      </c>
      <c r="I58" s="210">
        <f>INT((D36/A36+I36/F36)^2/(1/(A36-1)*(D36/A36)^2+1/(F36-1)*(I36/F36)^2))</f>
        <v>12</v>
      </c>
      <c r="J58" s="169">
        <f>TINV(2*K36,I58)</f>
        <v>1.7822875556493194</v>
      </c>
      <c r="K58" s="170">
        <f>TINV(K36,I58)</f>
        <v>2.1788128296672284</v>
      </c>
    </row>
    <row r="59" spans="1:11" ht="24.4" customHeight="1" x14ac:dyDescent="0.25">
      <c r="A59" s="233"/>
      <c r="B59" s="91"/>
      <c r="C59" s="91"/>
      <c r="D59" s="91"/>
      <c r="E59" s="91"/>
      <c r="F59" s="81"/>
      <c r="G59" s="91"/>
    </row>
  </sheetData>
  <sheetProtection password="DBEF" sheet="1" objects="1" scenarios="1" formatCells="0"/>
  <mergeCells count="5">
    <mergeCell ref="I43:J43"/>
    <mergeCell ref="D11:E11"/>
    <mergeCell ref="D42:E42"/>
    <mergeCell ref="E13:F13"/>
    <mergeCell ref="I12:J12"/>
  </mergeCells>
  <phoneticPr fontId="5" type="noConversion"/>
  <conditionalFormatting sqref="I12:J12">
    <cfRule type="containsText" dxfId="6" priority="2" stopIfTrue="1" operator="containsText" text="das">
      <formula>NOT(ISERROR(SEARCH("das",I12)))</formula>
    </cfRule>
    <cfRule type="containsText" dxfId="5" priority="3" stopIfTrue="1" operator="containsText" text="das">
      <formula>NOT(ISERROR(SEARCH("das",I12)))</formula>
    </cfRule>
    <cfRule type="containsText" dxfId="4" priority="4" stopIfTrue="1" operator="containsText" text="das">
      <formula>NOT(ISERROR(SEARCH("das",I12)))</formula>
    </cfRule>
    <cfRule type="containsText" dxfId="3" priority="5" stopIfTrue="1" operator="containsText" text="das">
      <formula>NOT(ISERROR(SEARCH("das",I12)))</formula>
    </cfRule>
  </conditionalFormatting>
  <conditionalFormatting sqref="I43:J43">
    <cfRule type="containsText" dxfId="2" priority="1" stopIfTrue="1" operator="containsText" text="das">
      <formula>NOT(ISERROR(SEARCH("das",I43)))</formula>
    </cfRule>
  </conditionalFormatting>
  <printOptions horizontalCentered="1"/>
  <pageMargins left="0.78740157480314965" right="0.78740157480314965" top="0.98425196850393704" bottom="0.98425196850393704" header="0.59055118110236227" footer="0.59055118110236227"/>
  <pageSetup paperSize="9" scale="73" orientation="portrait" horizontalDpi="180" verticalDpi="180" r:id="rId1"/>
  <headerFooter alignWithMargins="0">
    <oddHeader>&amp;C&amp;11Zpracování výběrového šetření</oddHeader>
    <oddFooter>&amp;C&amp;8Indstat.xls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8193" r:id="rId4">
          <objectPr defaultSize="0" autoLine="0" r:id="rId5">
            <anchor moveWithCells="1">
              <from>
                <xdr:col>1</xdr:col>
                <xdr:colOff>317500</xdr:colOff>
                <xdr:row>3</xdr:row>
                <xdr:rowOff>88900</xdr:rowOff>
              </from>
              <to>
                <xdr:col>1</xdr:col>
                <xdr:colOff>438150</xdr:colOff>
                <xdr:row>3</xdr:row>
                <xdr:rowOff>241300</xdr:rowOff>
              </to>
            </anchor>
          </objectPr>
        </oleObject>
      </mc:Choice>
      <mc:Fallback>
        <oleObject progId="Equation.2" shapeId="8193" r:id="rId4"/>
      </mc:Fallback>
    </mc:AlternateContent>
    <mc:AlternateContent xmlns:mc="http://schemas.openxmlformats.org/markup-compatibility/2006">
      <mc:Choice Requires="x14">
        <oleObject progId="Equation.3" shapeId="8195" r:id="rId6">
          <objectPr defaultSize="0" autoLine="0" r:id="rId7">
            <anchor moveWithCells="1">
              <from>
                <xdr:col>3</xdr:col>
                <xdr:colOff>203200</xdr:colOff>
                <xdr:row>3</xdr:row>
                <xdr:rowOff>57150</xdr:rowOff>
              </from>
              <to>
                <xdr:col>3</xdr:col>
                <xdr:colOff>552450</xdr:colOff>
                <xdr:row>3</xdr:row>
                <xdr:rowOff>279400</xdr:rowOff>
              </to>
            </anchor>
          </objectPr>
        </oleObject>
      </mc:Choice>
      <mc:Fallback>
        <oleObject progId="Equation.3" shapeId="8195" r:id="rId6"/>
      </mc:Fallback>
    </mc:AlternateContent>
    <mc:AlternateContent xmlns:mc="http://schemas.openxmlformats.org/markup-compatibility/2006">
      <mc:Choice Requires="x14">
        <oleObject progId="Equation.3" shapeId="8197" r:id="rId8">
          <objectPr defaultSize="0" autoLine="0" r:id="rId9">
            <anchor moveWithCells="1">
              <from>
                <xdr:col>8</xdr:col>
                <xdr:colOff>203200</xdr:colOff>
                <xdr:row>3</xdr:row>
                <xdr:rowOff>50800</xdr:rowOff>
              </from>
              <to>
                <xdr:col>8</xdr:col>
                <xdr:colOff>552450</xdr:colOff>
                <xdr:row>3</xdr:row>
                <xdr:rowOff>266700</xdr:rowOff>
              </to>
            </anchor>
          </objectPr>
        </oleObject>
      </mc:Choice>
      <mc:Fallback>
        <oleObject progId="Equation.3" shapeId="8197" r:id="rId8"/>
      </mc:Fallback>
    </mc:AlternateContent>
    <mc:AlternateContent xmlns:mc="http://schemas.openxmlformats.org/markup-compatibility/2006">
      <mc:Choice Requires="x14">
        <oleObject progId="Equation.3" shapeId="8198" r:id="rId10">
          <objectPr defaultSize="0" autoLine="0" r:id="rId11">
            <anchor moveWithCells="1">
              <from>
                <xdr:col>6</xdr:col>
                <xdr:colOff>317500</xdr:colOff>
                <xdr:row>3</xdr:row>
                <xdr:rowOff>76200</xdr:rowOff>
              </from>
              <to>
                <xdr:col>6</xdr:col>
                <xdr:colOff>438150</xdr:colOff>
                <xdr:row>3</xdr:row>
                <xdr:rowOff>266700</xdr:rowOff>
              </to>
            </anchor>
          </objectPr>
        </oleObject>
      </mc:Choice>
      <mc:Fallback>
        <oleObject progId="Equation.3" shapeId="8198" r:id="rId10"/>
      </mc:Fallback>
    </mc:AlternateContent>
    <mc:AlternateContent xmlns:mc="http://schemas.openxmlformats.org/markup-compatibility/2006">
      <mc:Choice Requires="x14">
        <oleObject progId="Equation.3" shapeId="8199" r:id="rId12">
          <objectPr defaultSize="0" autoLine="0" r:id="rId13">
            <anchor moveWithCells="1">
              <from>
                <xdr:col>0</xdr:col>
                <xdr:colOff>527050</xdr:colOff>
                <xdr:row>8</xdr:row>
                <xdr:rowOff>19050</xdr:rowOff>
              </from>
              <to>
                <xdr:col>1</xdr:col>
                <xdr:colOff>304800</xdr:colOff>
                <xdr:row>8</xdr:row>
                <xdr:rowOff>241300</xdr:rowOff>
              </to>
            </anchor>
          </objectPr>
        </oleObject>
      </mc:Choice>
      <mc:Fallback>
        <oleObject progId="Equation.3" shapeId="8199" r:id="rId12"/>
      </mc:Fallback>
    </mc:AlternateContent>
    <mc:AlternateContent xmlns:mc="http://schemas.openxmlformats.org/markup-compatibility/2006">
      <mc:Choice Requires="x14">
        <oleObject progId="Equation.3" shapeId="8201" r:id="rId14">
          <objectPr defaultSize="0" autoLine="0" r:id="rId15">
            <anchor moveWithCells="1">
              <from>
                <xdr:col>4</xdr:col>
                <xdr:colOff>431800</xdr:colOff>
                <xdr:row>8</xdr:row>
                <xdr:rowOff>50800</xdr:rowOff>
              </from>
              <to>
                <xdr:col>5</xdr:col>
                <xdr:colOff>209550</xdr:colOff>
                <xdr:row>8</xdr:row>
                <xdr:rowOff>260350</xdr:rowOff>
              </to>
            </anchor>
          </objectPr>
        </oleObject>
      </mc:Choice>
      <mc:Fallback>
        <oleObject progId="Equation.3" shapeId="8201" r:id="rId14"/>
      </mc:Fallback>
    </mc:AlternateContent>
    <mc:AlternateContent xmlns:mc="http://schemas.openxmlformats.org/markup-compatibility/2006">
      <mc:Choice Requires="x14">
        <oleObject progId="Equation.3" shapeId="8202" r:id="rId16">
          <objectPr defaultSize="0" autoLine="0" r:id="rId17">
            <anchor moveWithCells="1">
              <from>
                <xdr:col>5</xdr:col>
                <xdr:colOff>704850</xdr:colOff>
                <xdr:row>8</xdr:row>
                <xdr:rowOff>50800</xdr:rowOff>
              </from>
              <to>
                <xdr:col>6</xdr:col>
                <xdr:colOff>495300</xdr:colOff>
                <xdr:row>8</xdr:row>
                <xdr:rowOff>260350</xdr:rowOff>
              </to>
            </anchor>
          </objectPr>
        </oleObject>
      </mc:Choice>
      <mc:Fallback>
        <oleObject progId="Equation.3" shapeId="8202" r:id="rId16"/>
      </mc:Fallback>
    </mc:AlternateContent>
    <mc:AlternateContent xmlns:mc="http://schemas.openxmlformats.org/markup-compatibility/2006">
      <mc:Choice Requires="x14">
        <oleObject progId="Equation.3" shapeId="8204" r:id="rId18">
          <objectPr defaultSize="0" autoLine="0" autoPict="0" r:id="rId19">
            <anchor moveWithCells="1">
              <from>
                <xdr:col>6</xdr:col>
                <xdr:colOff>457200</xdr:colOff>
                <xdr:row>13</xdr:row>
                <xdr:rowOff>50800</xdr:rowOff>
              </from>
              <to>
                <xdr:col>7</xdr:col>
                <xdr:colOff>304800</xdr:colOff>
                <xdr:row>13</xdr:row>
                <xdr:rowOff>285750</xdr:rowOff>
              </to>
            </anchor>
          </objectPr>
        </oleObject>
      </mc:Choice>
      <mc:Fallback>
        <oleObject progId="Equation.3" shapeId="8204" r:id="rId18"/>
      </mc:Fallback>
    </mc:AlternateContent>
    <mc:AlternateContent xmlns:mc="http://schemas.openxmlformats.org/markup-compatibility/2006">
      <mc:Choice Requires="x14">
        <oleObject progId="Equation.3" shapeId="8205" r:id="rId20">
          <objectPr defaultSize="0" autoLine="0" autoPict="0" r:id="rId21">
            <anchor moveWithCells="1">
              <from>
                <xdr:col>6</xdr:col>
                <xdr:colOff>495300</xdr:colOff>
                <xdr:row>21</xdr:row>
                <xdr:rowOff>19050</xdr:rowOff>
              </from>
              <to>
                <xdr:col>7</xdr:col>
                <xdr:colOff>361950</xdr:colOff>
                <xdr:row>21</xdr:row>
                <xdr:rowOff>266700</xdr:rowOff>
              </to>
            </anchor>
          </objectPr>
        </oleObject>
      </mc:Choice>
      <mc:Fallback>
        <oleObject progId="Equation.3" shapeId="8205" r:id="rId20"/>
      </mc:Fallback>
    </mc:AlternateContent>
    <mc:AlternateContent xmlns:mc="http://schemas.openxmlformats.org/markup-compatibility/2006">
      <mc:Choice Requires="x14">
        <oleObject progId="Equation.3" shapeId="8215" r:id="rId22">
          <objectPr defaultSize="0" autoLine="0" r:id="rId23">
            <anchor moveWithCells="1">
              <from>
                <xdr:col>3</xdr:col>
                <xdr:colOff>95250</xdr:colOff>
                <xdr:row>8</xdr:row>
                <xdr:rowOff>50800</xdr:rowOff>
              </from>
              <to>
                <xdr:col>3</xdr:col>
                <xdr:colOff>622300</xdr:colOff>
                <xdr:row>8</xdr:row>
                <xdr:rowOff>266700</xdr:rowOff>
              </to>
            </anchor>
          </objectPr>
        </oleObject>
      </mc:Choice>
      <mc:Fallback>
        <oleObject progId="Equation.3" shapeId="8215" r:id="rId22"/>
      </mc:Fallback>
    </mc:AlternateContent>
    <mc:AlternateContent xmlns:mc="http://schemas.openxmlformats.org/markup-compatibility/2006">
      <mc:Choice Requires="x14">
        <oleObject progId="Equation.2" shapeId="8256" r:id="rId24">
          <objectPr defaultSize="0" autoLine="0" r:id="rId5">
            <anchor moveWithCells="1">
              <from>
                <xdr:col>1</xdr:col>
                <xdr:colOff>317500</xdr:colOff>
                <xdr:row>34</xdr:row>
                <xdr:rowOff>88900</xdr:rowOff>
              </from>
              <to>
                <xdr:col>1</xdr:col>
                <xdr:colOff>438150</xdr:colOff>
                <xdr:row>34</xdr:row>
                <xdr:rowOff>241300</xdr:rowOff>
              </to>
            </anchor>
          </objectPr>
        </oleObject>
      </mc:Choice>
      <mc:Fallback>
        <oleObject progId="Equation.2" shapeId="8256" r:id="rId24"/>
      </mc:Fallback>
    </mc:AlternateContent>
    <mc:AlternateContent xmlns:mc="http://schemas.openxmlformats.org/markup-compatibility/2006">
      <mc:Choice Requires="x14">
        <oleObject progId="Equation.3" shapeId="8257" r:id="rId25">
          <objectPr defaultSize="0" autoLine="0" r:id="rId7">
            <anchor moveWithCells="1">
              <from>
                <xdr:col>3</xdr:col>
                <xdr:colOff>203200</xdr:colOff>
                <xdr:row>34</xdr:row>
                <xdr:rowOff>57150</xdr:rowOff>
              </from>
              <to>
                <xdr:col>3</xdr:col>
                <xdr:colOff>552450</xdr:colOff>
                <xdr:row>34</xdr:row>
                <xdr:rowOff>279400</xdr:rowOff>
              </to>
            </anchor>
          </objectPr>
        </oleObject>
      </mc:Choice>
      <mc:Fallback>
        <oleObject progId="Equation.3" shapeId="8257" r:id="rId25"/>
      </mc:Fallback>
    </mc:AlternateContent>
    <mc:AlternateContent xmlns:mc="http://schemas.openxmlformats.org/markup-compatibility/2006">
      <mc:Choice Requires="x14">
        <oleObject progId="Equation.3" shapeId="8258" r:id="rId26">
          <objectPr defaultSize="0" autoLine="0" r:id="rId9">
            <anchor moveWithCells="1">
              <from>
                <xdr:col>8</xdr:col>
                <xdr:colOff>203200</xdr:colOff>
                <xdr:row>34</xdr:row>
                <xdr:rowOff>50800</xdr:rowOff>
              </from>
              <to>
                <xdr:col>8</xdr:col>
                <xdr:colOff>552450</xdr:colOff>
                <xdr:row>34</xdr:row>
                <xdr:rowOff>266700</xdr:rowOff>
              </to>
            </anchor>
          </objectPr>
        </oleObject>
      </mc:Choice>
      <mc:Fallback>
        <oleObject progId="Equation.3" shapeId="8258" r:id="rId26"/>
      </mc:Fallback>
    </mc:AlternateContent>
    <mc:AlternateContent xmlns:mc="http://schemas.openxmlformats.org/markup-compatibility/2006">
      <mc:Choice Requires="x14">
        <oleObject progId="Equation.3" shapeId="8259" r:id="rId27">
          <objectPr defaultSize="0" autoLine="0" r:id="rId11">
            <anchor moveWithCells="1">
              <from>
                <xdr:col>6</xdr:col>
                <xdr:colOff>317500</xdr:colOff>
                <xdr:row>34</xdr:row>
                <xdr:rowOff>76200</xdr:rowOff>
              </from>
              <to>
                <xdr:col>6</xdr:col>
                <xdr:colOff>438150</xdr:colOff>
                <xdr:row>34</xdr:row>
                <xdr:rowOff>266700</xdr:rowOff>
              </to>
            </anchor>
          </objectPr>
        </oleObject>
      </mc:Choice>
      <mc:Fallback>
        <oleObject progId="Equation.3" shapeId="8259" r:id="rId27"/>
      </mc:Fallback>
    </mc:AlternateContent>
    <mc:AlternateContent xmlns:mc="http://schemas.openxmlformats.org/markup-compatibility/2006">
      <mc:Choice Requires="x14">
        <oleObject progId="Equation.3" shapeId="8263" r:id="rId28">
          <objectPr defaultSize="0" autoLine="0" autoPict="0" r:id="rId19">
            <anchor moveWithCells="1">
              <from>
                <xdr:col>6</xdr:col>
                <xdr:colOff>431800</xdr:colOff>
                <xdr:row>44</xdr:row>
                <xdr:rowOff>50800</xdr:rowOff>
              </from>
              <to>
                <xdr:col>7</xdr:col>
                <xdr:colOff>279400</xdr:colOff>
                <xdr:row>44</xdr:row>
                <xdr:rowOff>285750</xdr:rowOff>
              </to>
            </anchor>
          </objectPr>
        </oleObject>
      </mc:Choice>
      <mc:Fallback>
        <oleObject progId="Equation.3" shapeId="8263" r:id="rId28"/>
      </mc:Fallback>
    </mc:AlternateContent>
    <mc:AlternateContent xmlns:mc="http://schemas.openxmlformats.org/markup-compatibility/2006">
      <mc:Choice Requires="x14">
        <oleObject progId="Equation.3" shapeId="8264" r:id="rId29">
          <objectPr defaultSize="0" autoLine="0" autoPict="0" r:id="rId21">
            <anchor moveWithCells="1">
              <from>
                <xdr:col>6</xdr:col>
                <xdr:colOff>457200</xdr:colOff>
                <xdr:row>52</xdr:row>
                <xdr:rowOff>19050</xdr:rowOff>
              </from>
              <to>
                <xdr:col>7</xdr:col>
                <xdr:colOff>317500</xdr:colOff>
                <xdr:row>52</xdr:row>
                <xdr:rowOff>266700</xdr:rowOff>
              </to>
            </anchor>
          </objectPr>
        </oleObject>
      </mc:Choice>
      <mc:Fallback>
        <oleObject progId="Equation.3" shapeId="8264" r:id="rId29"/>
      </mc:Fallback>
    </mc:AlternateContent>
    <mc:AlternateContent xmlns:mc="http://schemas.openxmlformats.org/markup-compatibility/2006">
      <mc:Choice Requires="x14">
        <oleObject progId="Equation.3" shapeId="8284" r:id="rId30">
          <objectPr defaultSize="0" autoLine="0" autoPict="0" r:id="rId31">
            <anchor moveWithCells="1">
              <from>
                <xdr:col>3</xdr:col>
                <xdr:colOff>107950</xdr:colOff>
                <xdr:row>15</xdr:row>
                <xdr:rowOff>19050</xdr:rowOff>
              </from>
              <to>
                <xdr:col>3</xdr:col>
                <xdr:colOff>603250</xdr:colOff>
                <xdr:row>15</xdr:row>
                <xdr:rowOff>247650</xdr:rowOff>
              </to>
            </anchor>
          </objectPr>
        </oleObject>
      </mc:Choice>
      <mc:Fallback>
        <oleObject progId="Equation.3" shapeId="8284" r:id="rId30"/>
      </mc:Fallback>
    </mc:AlternateContent>
    <mc:AlternateContent xmlns:mc="http://schemas.openxmlformats.org/markup-compatibility/2006">
      <mc:Choice Requires="x14">
        <oleObject progId="Equation.3" shapeId="8285" r:id="rId32">
          <objectPr defaultSize="0" autoLine="0" autoPict="0" r:id="rId33">
            <anchor moveWithCells="1">
              <from>
                <xdr:col>4</xdr:col>
                <xdr:colOff>469900</xdr:colOff>
                <xdr:row>15</xdr:row>
                <xdr:rowOff>31750</xdr:rowOff>
              </from>
              <to>
                <xdr:col>5</xdr:col>
                <xdr:colOff>203200</xdr:colOff>
                <xdr:row>15</xdr:row>
                <xdr:rowOff>247650</xdr:rowOff>
              </to>
            </anchor>
          </objectPr>
        </oleObject>
      </mc:Choice>
      <mc:Fallback>
        <oleObject progId="Equation.3" shapeId="8285" r:id="rId32"/>
      </mc:Fallback>
    </mc:AlternateContent>
    <mc:AlternateContent xmlns:mc="http://schemas.openxmlformats.org/markup-compatibility/2006">
      <mc:Choice Requires="x14">
        <oleObject progId="Equation.3" shapeId="8286" r:id="rId34">
          <objectPr defaultSize="0" autoLine="0" autoPict="0" r:id="rId35">
            <anchor moveWithCells="1">
              <from>
                <xdr:col>6</xdr:col>
                <xdr:colOff>0</xdr:colOff>
                <xdr:row>15</xdr:row>
                <xdr:rowOff>50800</xdr:rowOff>
              </from>
              <to>
                <xdr:col>6</xdr:col>
                <xdr:colOff>450850</xdr:colOff>
                <xdr:row>15</xdr:row>
                <xdr:rowOff>260350</xdr:rowOff>
              </to>
            </anchor>
          </objectPr>
        </oleObject>
      </mc:Choice>
      <mc:Fallback>
        <oleObject progId="Equation.3" shapeId="8286" r:id="rId34"/>
      </mc:Fallback>
    </mc:AlternateContent>
    <mc:AlternateContent xmlns:mc="http://schemas.openxmlformats.org/markup-compatibility/2006">
      <mc:Choice Requires="x14">
        <oleObject progId="Equation.3" shapeId="8296" r:id="rId36">
          <objectPr defaultSize="0" autoLine="0" r:id="rId13">
            <anchor moveWithCells="1">
              <from>
                <xdr:col>0</xdr:col>
                <xdr:colOff>514350</xdr:colOff>
                <xdr:row>39</xdr:row>
                <xdr:rowOff>19050</xdr:rowOff>
              </from>
              <to>
                <xdr:col>1</xdr:col>
                <xdr:colOff>304800</xdr:colOff>
                <xdr:row>39</xdr:row>
                <xdr:rowOff>241300</xdr:rowOff>
              </to>
            </anchor>
          </objectPr>
        </oleObject>
      </mc:Choice>
      <mc:Fallback>
        <oleObject progId="Equation.3" shapeId="8296" r:id="rId36"/>
      </mc:Fallback>
    </mc:AlternateContent>
    <mc:AlternateContent xmlns:mc="http://schemas.openxmlformats.org/markup-compatibility/2006">
      <mc:Choice Requires="x14">
        <oleObject progId="Equation.3" shapeId="8371" r:id="rId37">
          <objectPr defaultSize="0" autoLine="0" autoPict="0" r:id="rId38">
            <anchor moveWithCells="1">
              <from>
                <xdr:col>0</xdr:col>
                <xdr:colOff>552450</xdr:colOff>
                <xdr:row>54</xdr:row>
                <xdr:rowOff>12700</xdr:rowOff>
              </from>
              <to>
                <xdr:col>1</xdr:col>
                <xdr:colOff>279400</xdr:colOff>
                <xdr:row>54</xdr:row>
                <xdr:rowOff>228600</xdr:rowOff>
              </to>
            </anchor>
          </objectPr>
        </oleObject>
      </mc:Choice>
      <mc:Fallback>
        <oleObject progId="Equation.3" shapeId="8371" r:id="rId37"/>
      </mc:Fallback>
    </mc:AlternateContent>
    <mc:AlternateContent xmlns:mc="http://schemas.openxmlformats.org/markup-compatibility/2006">
      <mc:Choice Requires="x14">
        <oleObject progId="Equation.3" shapeId="8372" r:id="rId39">
          <objectPr defaultSize="0" autoLine="0" autoPict="0" r:id="rId38">
            <anchor moveWithCells="1">
              <from>
                <xdr:col>0</xdr:col>
                <xdr:colOff>533400</xdr:colOff>
                <xdr:row>46</xdr:row>
                <xdr:rowOff>50800</xdr:rowOff>
              </from>
              <to>
                <xdr:col>1</xdr:col>
                <xdr:colOff>266700</xdr:colOff>
                <xdr:row>46</xdr:row>
                <xdr:rowOff>260350</xdr:rowOff>
              </to>
            </anchor>
          </objectPr>
        </oleObject>
      </mc:Choice>
      <mc:Fallback>
        <oleObject progId="Equation.3" shapeId="8372" r:id="rId39"/>
      </mc:Fallback>
    </mc:AlternateContent>
    <mc:AlternateContent xmlns:mc="http://schemas.openxmlformats.org/markup-compatibility/2006">
      <mc:Choice Requires="x14">
        <oleObject progId="Equation.3" shapeId="8374" r:id="rId40">
          <objectPr defaultSize="0" autoLine="0" autoPict="0" r:id="rId41">
            <anchor moveWithCells="1">
              <from>
                <xdr:col>0</xdr:col>
                <xdr:colOff>533400</xdr:colOff>
                <xdr:row>15</xdr:row>
                <xdr:rowOff>50800</xdr:rowOff>
              </from>
              <to>
                <xdr:col>1</xdr:col>
                <xdr:colOff>266700</xdr:colOff>
                <xdr:row>15</xdr:row>
                <xdr:rowOff>260350</xdr:rowOff>
              </to>
            </anchor>
          </objectPr>
        </oleObject>
      </mc:Choice>
      <mc:Fallback>
        <oleObject progId="Equation.3" shapeId="8374" r:id="rId40"/>
      </mc:Fallback>
    </mc:AlternateContent>
    <mc:AlternateContent xmlns:mc="http://schemas.openxmlformats.org/markup-compatibility/2006">
      <mc:Choice Requires="x14">
        <oleObject progId="Equation.3" shapeId="8376" r:id="rId42">
          <objectPr defaultSize="0" autoLine="0" autoPict="0" r:id="rId41">
            <anchor moveWithCells="1">
              <from>
                <xdr:col>0</xdr:col>
                <xdr:colOff>552450</xdr:colOff>
                <xdr:row>23</xdr:row>
                <xdr:rowOff>50800</xdr:rowOff>
              </from>
              <to>
                <xdr:col>1</xdr:col>
                <xdr:colOff>285750</xdr:colOff>
                <xdr:row>23</xdr:row>
                <xdr:rowOff>266700</xdr:rowOff>
              </to>
            </anchor>
          </objectPr>
        </oleObject>
      </mc:Choice>
      <mc:Fallback>
        <oleObject progId="Equation.3" shapeId="8376" r:id="rId42"/>
      </mc:Fallback>
    </mc:AlternateContent>
    <mc:AlternateContent xmlns:mc="http://schemas.openxmlformats.org/markup-compatibility/2006">
      <mc:Choice Requires="x14">
        <oleObject progId="Equation.3" shapeId="8382" r:id="rId43">
          <objectPr defaultSize="0" autoLine="0" autoPict="0" r:id="rId31">
            <anchor moveWithCells="1">
              <from>
                <xdr:col>3</xdr:col>
                <xdr:colOff>107950</xdr:colOff>
                <xdr:row>23</xdr:row>
                <xdr:rowOff>31750</xdr:rowOff>
              </from>
              <to>
                <xdr:col>3</xdr:col>
                <xdr:colOff>603250</xdr:colOff>
                <xdr:row>23</xdr:row>
                <xdr:rowOff>260350</xdr:rowOff>
              </to>
            </anchor>
          </objectPr>
        </oleObject>
      </mc:Choice>
      <mc:Fallback>
        <oleObject progId="Equation.3" shapeId="8382" r:id="rId43"/>
      </mc:Fallback>
    </mc:AlternateContent>
    <mc:AlternateContent xmlns:mc="http://schemas.openxmlformats.org/markup-compatibility/2006">
      <mc:Choice Requires="x14">
        <oleObject progId="Equation.3" shapeId="8383" r:id="rId44">
          <objectPr defaultSize="0" autoLine="0" autoPict="0" r:id="rId33">
            <anchor moveWithCells="1">
              <from>
                <xdr:col>4</xdr:col>
                <xdr:colOff>469900</xdr:colOff>
                <xdr:row>23</xdr:row>
                <xdr:rowOff>50800</xdr:rowOff>
              </from>
              <to>
                <xdr:col>5</xdr:col>
                <xdr:colOff>203200</xdr:colOff>
                <xdr:row>23</xdr:row>
                <xdr:rowOff>260350</xdr:rowOff>
              </to>
            </anchor>
          </objectPr>
        </oleObject>
      </mc:Choice>
      <mc:Fallback>
        <oleObject progId="Equation.3" shapeId="8383" r:id="rId44"/>
      </mc:Fallback>
    </mc:AlternateContent>
    <mc:AlternateContent xmlns:mc="http://schemas.openxmlformats.org/markup-compatibility/2006">
      <mc:Choice Requires="x14">
        <oleObject progId="Equation.3" shapeId="8384" r:id="rId45">
          <objectPr defaultSize="0" autoLine="0" autoPict="0" r:id="rId35">
            <anchor moveWithCells="1">
              <from>
                <xdr:col>6</xdr:col>
                <xdr:colOff>0</xdr:colOff>
                <xdr:row>23</xdr:row>
                <xdr:rowOff>50800</xdr:rowOff>
              </from>
              <to>
                <xdr:col>6</xdr:col>
                <xdr:colOff>450850</xdr:colOff>
                <xdr:row>23</xdr:row>
                <xdr:rowOff>266700</xdr:rowOff>
              </to>
            </anchor>
          </objectPr>
        </oleObject>
      </mc:Choice>
      <mc:Fallback>
        <oleObject progId="Equation.3" shapeId="8384" r:id="rId45"/>
      </mc:Fallback>
    </mc:AlternateContent>
    <mc:AlternateContent xmlns:mc="http://schemas.openxmlformats.org/markup-compatibility/2006">
      <mc:Choice Requires="x14">
        <oleObject progId="Equation.3" shapeId="8385" r:id="rId46">
          <objectPr defaultSize="0" autoLine="0" r:id="rId15">
            <anchor moveWithCells="1">
              <from>
                <xdr:col>4</xdr:col>
                <xdr:colOff>450850</xdr:colOff>
                <xdr:row>39</xdr:row>
                <xdr:rowOff>31750</xdr:rowOff>
              </from>
              <to>
                <xdr:col>5</xdr:col>
                <xdr:colOff>222250</xdr:colOff>
                <xdr:row>39</xdr:row>
                <xdr:rowOff>241300</xdr:rowOff>
              </to>
            </anchor>
          </objectPr>
        </oleObject>
      </mc:Choice>
      <mc:Fallback>
        <oleObject progId="Equation.3" shapeId="8385" r:id="rId46"/>
      </mc:Fallback>
    </mc:AlternateContent>
    <mc:AlternateContent xmlns:mc="http://schemas.openxmlformats.org/markup-compatibility/2006">
      <mc:Choice Requires="x14">
        <oleObject progId="Equation.3" shapeId="8386" r:id="rId47">
          <objectPr defaultSize="0" autoLine="0" r:id="rId17">
            <anchor moveWithCells="1">
              <from>
                <xdr:col>6</xdr:col>
                <xdr:colOff>19050</xdr:colOff>
                <xdr:row>39</xdr:row>
                <xdr:rowOff>31750</xdr:rowOff>
              </from>
              <to>
                <xdr:col>6</xdr:col>
                <xdr:colOff>533400</xdr:colOff>
                <xdr:row>39</xdr:row>
                <xdr:rowOff>247650</xdr:rowOff>
              </to>
            </anchor>
          </objectPr>
        </oleObject>
      </mc:Choice>
      <mc:Fallback>
        <oleObject progId="Equation.3" shapeId="8386" r:id="rId47"/>
      </mc:Fallback>
    </mc:AlternateContent>
    <mc:AlternateContent xmlns:mc="http://schemas.openxmlformats.org/markup-compatibility/2006">
      <mc:Choice Requires="x14">
        <oleObject progId="Equation.3" shapeId="8387" r:id="rId48">
          <objectPr defaultSize="0" autoLine="0" r:id="rId23">
            <anchor moveWithCells="1">
              <from>
                <xdr:col>3</xdr:col>
                <xdr:colOff>114300</xdr:colOff>
                <xdr:row>39</xdr:row>
                <xdr:rowOff>19050</xdr:rowOff>
              </from>
              <to>
                <xdr:col>3</xdr:col>
                <xdr:colOff>628650</xdr:colOff>
                <xdr:row>39</xdr:row>
                <xdr:rowOff>247650</xdr:rowOff>
              </to>
            </anchor>
          </objectPr>
        </oleObject>
      </mc:Choice>
      <mc:Fallback>
        <oleObject progId="Equation.3" shapeId="8387" r:id="rId48"/>
      </mc:Fallback>
    </mc:AlternateContent>
    <mc:AlternateContent xmlns:mc="http://schemas.openxmlformats.org/markup-compatibility/2006">
      <mc:Choice Requires="x14">
        <oleObject progId="Equation.3" shapeId="8390" r:id="rId49">
          <objectPr defaultSize="0" autoLine="0" autoPict="0" r:id="rId31">
            <anchor moveWithCells="1">
              <from>
                <xdr:col>3</xdr:col>
                <xdr:colOff>95250</xdr:colOff>
                <xdr:row>46</xdr:row>
                <xdr:rowOff>0</xdr:rowOff>
              </from>
              <to>
                <xdr:col>3</xdr:col>
                <xdr:colOff>590550</xdr:colOff>
                <xdr:row>46</xdr:row>
                <xdr:rowOff>228600</xdr:rowOff>
              </to>
            </anchor>
          </objectPr>
        </oleObject>
      </mc:Choice>
      <mc:Fallback>
        <oleObject progId="Equation.3" shapeId="8390" r:id="rId49"/>
      </mc:Fallback>
    </mc:AlternateContent>
    <mc:AlternateContent xmlns:mc="http://schemas.openxmlformats.org/markup-compatibility/2006">
      <mc:Choice Requires="x14">
        <oleObject progId="Equation.3" shapeId="8391" r:id="rId50">
          <objectPr defaultSize="0" autoLine="0" autoPict="0" r:id="rId33">
            <anchor moveWithCells="1">
              <from>
                <xdr:col>4</xdr:col>
                <xdr:colOff>438150</xdr:colOff>
                <xdr:row>46</xdr:row>
                <xdr:rowOff>12700</xdr:rowOff>
              </from>
              <to>
                <xdr:col>5</xdr:col>
                <xdr:colOff>171450</xdr:colOff>
                <xdr:row>46</xdr:row>
                <xdr:rowOff>228600</xdr:rowOff>
              </to>
            </anchor>
          </objectPr>
        </oleObject>
      </mc:Choice>
      <mc:Fallback>
        <oleObject progId="Equation.3" shapeId="8391" r:id="rId50"/>
      </mc:Fallback>
    </mc:AlternateContent>
    <mc:AlternateContent xmlns:mc="http://schemas.openxmlformats.org/markup-compatibility/2006">
      <mc:Choice Requires="x14">
        <oleObject progId="Equation.3" shapeId="8392" r:id="rId51">
          <objectPr defaultSize="0" autoLine="0" autoPict="0" r:id="rId35">
            <anchor moveWithCells="1">
              <from>
                <xdr:col>5</xdr:col>
                <xdr:colOff>698500</xdr:colOff>
                <xdr:row>46</xdr:row>
                <xdr:rowOff>19050</xdr:rowOff>
              </from>
              <to>
                <xdr:col>6</xdr:col>
                <xdr:colOff>431800</xdr:colOff>
                <xdr:row>46</xdr:row>
                <xdr:rowOff>241300</xdr:rowOff>
              </to>
            </anchor>
          </objectPr>
        </oleObject>
      </mc:Choice>
      <mc:Fallback>
        <oleObject progId="Equation.3" shapeId="8392" r:id="rId51"/>
      </mc:Fallback>
    </mc:AlternateContent>
    <mc:AlternateContent xmlns:mc="http://schemas.openxmlformats.org/markup-compatibility/2006">
      <mc:Choice Requires="x14">
        <oleObject progId="Equation.3" shapeId="8398" r:id="rId52">
          <objectPr defaultSize="0" autoLine="0" autoPict="0" r:id="rId31">
            <anchor moveWithCells="1">
              <from>
                <xdr:col>3</xdr:col>
                <xdr:colOff>95250</xdr:colOff>
                <xdr:row>54</xdr:row>
                <xdr:rowOff>0</xdr:rowOff>
              </from>
              <to>
                <xdr:col>3</xdr:col>
                <xdr:colOff>590550</xdr:colOff>
                <xdr:row>54</xdr:row>
                <xdr:rowOff>228600</xdr:rowOff>
              </to>
            </anchor>
          </objectPr>
        </oleObject>
      </mc:Choice>
      <mc:Fallback>
        <oleObject progId="Equation.3" shapeId="8398" r:id="rId52"/>
      </mc:Fallback>
    </mc:AlternateContent>
    <mc:AlternateContent xmlns:mc="http://schemas.openxmlformats.org/markup-compatibility/2006">
      <mc:Choice Requires="x14">
        <oleObject progId="Equation.3" shapeId="8399" r:id="rId53">
          <objectPr defaultSize="0" autoLine="0" autoPict="0" r:id="rId33">
            <anchor moveWithCells="1">
              <from>
                <xdr:col>4</xdr:col>
                <xdr:colOff>438150</xdr:colOff>
                <xdr:row>54</xdr:row>
                <xdr:rowOff>12700</xdr:rowOff>
              </from>
              <to>
                <xdr:col>5</xdr:col>
                <xdr:colOff>171450</xdr:colOff>
                <xdr:row>54</xdr:row>
                <xdr:rowOff>228600</xdr:rowOff>
              </to>
            </anchor>
          </objectPr>
        </oleObject>
      </mc:Choice>
      <mc:Fallback>
        <oleObject progId="Equation.3" shapeId="8399" r:id="rId53"/>
      </mc:Fallback>
    </mc:AlternateContent>
    <mc:AlternateContent xmlns:mc="http://schemas.openxmlformats.org/markup-compatibility/2006">
      <mc:Choice Requires="x14">
        <oleObject progId="Equation.3" shapeId="8400" r:id="rId54">
          <objectPr defaultSize="0" autoLine="0" autoPict="0" r:id="rId35">
            <anchor moveWithCells="1">
              <from>
                <xdr:col>5</xdr:col>
                <xdr:colOff>698500</xdr:colOff>
                <xdr:row>54</xdr:row>
                <xdr:rowOff>19050</xdr:rowOff>
              </from>
              <to>
                <xdr:col>6</xdr:col>
                <xdr:colOff>431800</xdr:colOff>
                <xdr:row>54</xdr:row>
                <xdr:rowOff>241300</xdr:rowOff>
              </to>
            </anchor>
          </objectPr>
        </oleObject>
      </mc:Choice>
      <mc:Fallback>
        <oleObject progId="Equation.3" shapeId="8400" r:id="rId5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19" r:id="rId55" name="Drop Down 27">
              <controlPr defaultSize="0" autoLine="0" autoPict="0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5</xdr:col>
                    <xdr:colOff>152400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56" name="Drop Down 28">
              <controlPr defaultSize="0" autoLine="0" autoPict="0">
                <anchor moveWithCells="1">
                  <from>
                    <xdr:col>6</xdr:col>
                    <xdr:colOff>12700</xdr:colOff>
                    <xdr:row>1</xdr:row>
                    <xdr:rowOff>0</xdr:rowOff>
                  </from>
                  <to>
                    <xdr:col>8</xdr:col>
                    <xdr:colOff>171450</xdr:colOff>
                    <xdr:row>1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7" r:id="rId57" name="Group Box 75">
              <controlPr defaultSize="0" autoFill="0" autoPict="0">
                <anchor moveWithCells="1">
                  <from>
                    <xdr:col>0</xdr:col>
                    <xdr:colOff>133350</xdr:colOff>
                    <xdr:row>7</xdr:row>
                    <xdr:rowOff>146050</xdr:rowOff>
                  </from>
                  <to>
                    <xdr:col>1</xdr:col>
                    <xdr:colOff>685800</xdr:colOff>
                    <xdr:row>9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8" r:id="rId58" name="Group Box 76">
              <controlPr defaultSize="0" autoFill="0" autoPict="0">
                <anchor moveWithCells="1">
                  <from>
                    <xdr:col>2</xdr:col>
                    <xdr:colOff>317500</xdr:colOff>
                    <xdr:row>7</xdr:row>
                    <xdr:rowOff>146050</xdr:rowOff>
                  </from>
                  <to>
                    <xdr:col>7</xdr:col>
                    <xdr:colOff>0</xdr:colOff>
                    <xdr:row>9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9" r:id="rId59" name="Option Button 77">
              <controlPr defaultSize="0" autoFill="0" autoLine="0" autoPict="0">
                <anchor moveWithCells="1">
                  <from>
                    <xdr:col>2</xdr:col>
                    <xdr:colOff>552450</xdr:colOff>
                    <xdr:row>8</xdr:row>
                    <xdr:rowOff>50800</xdr:rowOff>
                  </from>
                  <to>
                    <xdr:col>3</xdr:col>
                    <xdr:colOff>133350</xdr:colOff>
                    <xdr:row>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0" r:id="rId60" name="Option Button 78">
              <controlPr defaultSize="0" autoFill="0" autoLine="0" autoPict="0">
                <anchor moveWithCells="1">
                  <from>
                    <xdr:col>4</xdr:col>
                    <xdr:colOff>146050</xdr:colOff>
                    <xdr:row>8</xdr:row>
                    <xdr:rowOff>50800</xdr:rowOff>
                  </from>
                  <to>
                    <xdr:col>4</xdr:col>
                    <xdr:colOff>457200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1" r:id="rId61" name="Option Button 79">
              <controlPr defaultSize="0" autoFill="0" autoLine="0" autoPict="0">
                <anchor moveWithCells="1">
                  <from>
                    <xdr:col>5</xdr:col>
                    <xdr:colOff>431800</xdr:colOff>
                    <xdr:row>8</xdr:row>
                    <xdr:rowOff>50800</xdr:rowOff>
                  </from>
                  <to>
                    <xdr:col>6</xdr:col>
                    <xdr:colOff>12700</xdr:colOff>
                    <xdr:row>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7" r:id="rId62" name="Group Box 85">
              <controlPr defaultSize="0" autoFill="0" autoPict="0">
                <anchor moveWithCells="1">
                  <from>
                    <xdr:col>0</xdr:col>
                    <xdr:colOff>133350</xdr:colOff>
                    <xdr:row>14</xdr:row>
                    <xdr:rowOff>146050</xdr:rowOff>
                  </from>
                  <to>
                    <xdr:col>1</xdr:col>
                    <xdr:colOff>685800</xdr:colOff>
                    <xdr:row>16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8" r:id="rId63" name="Group Box 86">
              <controlPr defaultSize="0" autoFill="0" autoPict="0">
                <anchor moveWithCells="1">
                  <from>
                    <xdr:col>2</xdr:col>
                    <xdr:colOff>317500</xdr:colOff>
                    <xdr:row>14</xdr:row>
                    <xdr:rowOff>146050</xdr:rowOff>
                  </from>
                  <to>
                    <xdr:col>7</xdr:col>
                    <xdr:colOff>0</xdr:colOff>
                    <xdr:row>16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9" r:id="rId64" name="Option Button 87">
              <controlPr defaultSize="0" autoFill="0" autoLine="0" autoPict="0">
                <anchor moveWithCells="1">
                  <from>
                    <xdr:col>2</xdr:col>
                    <xdr:colOff>552450</xdr:colOff>
                    <xdr:row>15</xdr:row>
                    <xdr:rowOff>19050</xdr:rowOff>
                  </from>
                  <to>
                    <xdr:col>3</xdr:col>
                    <xdr:colOff>133350</xdr:colOff>
                    <xdr:row>15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0" r:id="rId65" name="Option Button 88">
              <controlPr defaultSize="0" autoFill="0" autoLine="0" autoPict="0">
                <anchor moveWithCells="1">
                  <from>
                    <xdr:col>4</xdr:col>
                    <xdr:colOff>171450</xdr:colOff>
                    <xdr:row>15</xdr:row>
                    <xdr:rowOff>19050</xdr:rowOff>
                  </from>
                  <to>
                    <xdr:col>4</xdr:col>
                    <xdr:colOff>488950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1" r:id="rId66" name="Option Button 89">
              <controlPr defaultSize="0" autoFill="0" autoLine="0" autoPict="0">
                <anchor moveWithCells="1">
                  <from>
                    <xdr:col>5</xdr:col>
                    <xdr:colOff>419100</xdr:colOff>
                    <xdr:row>15</xdr:row>
                    <xdr:rowOff>31750</xdr:rowOff>
                  </from>
                  <to>
                    <xdr:col>6</xdr:col>
                    <xdr:colOff>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9" r:id="rId67" name="Option Button 97">
              <controlPr defaultSize="0" autoFill="0" autoLine="0" autoPict="0">
                <anchor moveWithCells="1">
                  <from>
                    <xdr:col>2</xdr:col>
                    <xdr:colOff>552450</xdr:colOff>
                    <xdr:row>23</xdr:row>
                    <xdr:rowOff>19050</xdr:rowOff>
                  </from>
                  <to>
                    <xdr:col>3</xdr:col>
                    <xdr:colOff>133350</xdr:colOff>
                    <xdr:row>23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0" r:id="rId68" name="Option Button 98">
              <controlPr defaultSize="0" autoFill="0" autoLine="0" autoPict="0">
                <anchor moveWithCells="1">
                  <from>
                    <xdr:col>4</xdr:col>
                    <xdr:colOff>171450</xdr:colOff>
                    <xdr:row>23</xdr:row>
                    <xdr:rowOff>19050</xdr:rowOff>
                  </from>
                  <to>
                    <xdr:col>4</xdr:col>
                    <xdr:colOff>488950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1" r:id="rId69" name="Option Button 99">
              <controlPr defaultSize="0" autoFill="0" autoLine="0" autoPict="0">
                <anchor moveWithCells="1">
                  <from>
                    <xdr:col>5</xdr:col>
                    <xdr:colOff>431800</xdr:colOff>
                    <xdr:row>23</xdr:row>
                    <xdr:rowOff>50800</xdr:rowOff>
                  </from>
                  <to>
                    <xdr:col>6</xdr:col>
                    <xdr:colOff>12700</xdr:colOff>
                    <xdr:row>23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0" r:id="rId70" name="Group Box 108">
              <controlPr defaultSize="0" autoFill="0" autoPict="0">
                <anchor moveWithCells="1">
                  <from>
                    <xdr:col>0</xdr:col>
                    <xdr:colOff>133350</xdr:colOff>
                    <xdr:row>38</xdr:row>
                    <xdr:rowOff>133350</xdr:rowOff>
                  </from>
                  <to>
                    <xdr:col>1</xdr:col>
                    <xdr:colOff>685800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2" r:id="rId71" name="Option Button 110">
              <controlPr defaultSize="0" autoFill="0" autoLine="0" autoPict="0">
                <anchor moveWithCells="1">
                  <from>
                    <xdr:col>2</xdr:col>
                    <xdr:colOff>552450</xdr:colOff>
                    <xdr:row>39</xdr:row>
                    <xdr:rowOff>19050</xdr:rowOff>
                  </from>
                  <to>
                    <xdr:col>3</xdr:col>
                    <xdr:colOff>133350</xdr:colOff>
                    <xdr:row>39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3" r:id="rId72" name="Option Button 111">
              <controlPr defaultSize="0" autoFill="0" autoLine="0" autoPict="0">
                <anchor moveWithCells="1">
                  <from>
                    <xdr:col>4</xdr:col>
                    <xdr:colOff>171450</xdr:colOff>
                    <xdr:row>39</xdr:row>
                    <xdr:rowOff>19050</xdr:rowOff>
                  </from>
                  <to>
                    <xdr:col>4</xdr:col>
                    <xdr:colOff>476250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73" name="Option Button 112">
              <controlPr defaultSize="0" autoFill="0" autoLine="0" autoPict="0">
                <anchor moveWithCells="1">
                  <from>
                    <xdr:col>5</xdr:col>
                    <xdr:colOff>469900</xdr:colOff>
                    <xdr:row>39</xdr:row>
                    <xdr:rowOff>19050</xdr:rowOff>
                  </from>
                  <to>
                    <xdr:col>6</xdr:col>
                    <xdr:colOff>38100</xdr:colOff>
                    <xdr:row>39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74" name="Group Box 113">
              <controlPr defaultSize="0" autoFill="0" autoPict="0">
                <anchor moveWithCells="1">
                  <from>
                    <xdr:col>0</xdr:col>
                    <xdr:colOff>133350</xdr:colOff>
                    <xdr:row>45</xdr:row>
                    <xdr:rowOff>133350</xdr:rowOff>
                  </from>
                  <to>
                    <xdr:col>1</xdr:col>
                    <xdr:colOff>685800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75" name="Option Button 115">
              <controlPr defaultSize="0" autoFill="0" autoLine="0" autoPict="0">
                <anchor moveWithCells="1">
                  <from>
                    <xdr:col>2</xdr:col>
                    <xdr:colOff>514350</xdr:colOff>
                    <xdr:row>46</xdr:row>
                    <xdr:rowOff>0</xdr:rowOff>
                  </from>
                  <to>
                    <xdr:col>3</xdr:col>
                    <xdr:colOff>95250</xdr:colOff>
                    <xdr:row>46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76" name="Option Button 116">
              <controlPr defaultSize="0" autoFill="0" autoLine="0" autoPict="0">
                <anchor moveWithCells="1">
                  <from>
                    <xdr:col>4</xdr:col>
                    <xdr:colOff>146050</xdr:colOff>
                    <xdr:row>46</xdr:row>
                    <xdr:rowOff>0</xdr:rowOff>
                  </from>
                  <to>
                    <xdr:col>4</xdr:col>
                    <xdr:colOff>457200</xdr:colOff>
                    <xdr:row>46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77" name="Option Button 117">
              <controlPr defaultSize="0" autoFill="0" autoLine="0" autoPict="0">
                <anchor moveWithCells="1">
                  <from>
                    <xdr:col>5</xdr:col>
                    <xdr:colOff>412750</xdr:colOff>
                    <xdr:row>46</xdr:row>
                    <xdr:rowOff>0</xdr:rowOff>
                  </from>
                  <to>
                    <xdr:col>6</xdr:col>
                    <xdr:colOff>0</xdr:colOff>
                    <xdr:row>46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78" name="Group Box 122">
              <controlPr defaultSize="0" autoFill="0" autoPict="0">
                <anchor moveWithCells="1">
                  <from>
                    <xdr:col>0</xdr:col>
                    <xdr:colOff>133350</xdr:colOff>
                    <xdr:row>53</xdr:row>
                    <xdr:rowOff>133350</xdr:rowOff>
                  </from>
                  <to>
                    <xdr:col>1</xdr:col>
                    <xdr:colOff>685800</xdr:colOff>
                    <xdr:row>55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79" name="Option Button 124">
              <controlPr defaultSize="0" autoFill="0" autoLine="0" autoPict="0">
                <anchor moveWithCells="1">
                  <from>
                    <xdr:col>2</xdr:col>
                    <xdr:colOff>527050</xdr:colOff>
                    <xdr:row>54</xdr:row>
                    <xdr:rowOff>0</xdr:rowOff>
                  </from>
                  <to>
                    <xdr:col>3</xdr:col>
                    <xdr:colOff>107950</xdr:colOff>
                    <xdr:row>54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80" name="Option Button 125">
              <controlPr defaultSize="0" autoFill="0" autoLine="0" autoPict="0">
                <anchor moveWithCells="1">
                  <from>
                    <xdr:col>4</xdr:col>
                    <xdr:colOff>133350</xdr:colOff>
                    <xdr:row>54</xdr:row>
                    <xdr:rowOff>0</xdr:rowOff>
                  </from>
                  <to>
                    <xdr:col>4</xdr:col>
                    <xdr:colOff>450850</xdr:colOff>
                    <xdr:row>54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81" name="Option Button 126">
              <controlPr defaultSize="0" autoFill="0" autoLine="0" autoPict="0">
                <anchor moveWithCells="1">
                  <from>
                    <xdr:col>5</xdr:col>
                    <xdr:colOff>419100</xdr:colOff>
                    <xdr:row>54</xdr:row>
                    <xdr:rowOff>0</xdr:rowOff>
                  </from>
                  <to>
                    <xdr:col>6</xdr:col>
                    <xdr:colOff>0</xdr:colOff>
                    <xdr:row>54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5" r:id="rId82" name="Group Box 183">
              <controlPr defaultSize="0" autoFill="0" autoPict="0">
                <anchor moveWithCells="1">
                  <from>
                    <xdr:col>0</xdr:col>
                    <xdr:colOff>152400</xdr:colOff>
                    <xdr:row>22</xdr:row>
                    <xdr:rowOff>152400</xdr:rowOff>
                  </from>
                  <to>
                    <xdr:col>1</xdr:col>
                    <xdr:colOff>698500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1" r:id="rId83" name="Group Box 189">
              <controlPr defaultSize="0" autoFill="0" autoPict="0">
                <anchor moveWithCells="1">
                  <from>
                    <xdr:col>2</xdr:col>
                    <xdr:colOff>317500</xdr:colOff>
                    <xdr:row>22</xdr:row>
                    <xdr:rowOff>152400</xdr:rowOff>
                  </from>
                  <to>
                    <xdr:col>7</xdr:col>
                    <xdr:colOff>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8" r:id="rId84" name="Group Box 196">
              <controlPr defaultSize="0" autoFill="0" autoPict="0">
                <anchor moveWithCells="1">
                  <from>
                    <xdr:col>2</xdr:col>
                    <xdr:colOff>323850</xdr:colOff>
                    <xdr:row>38</xdr:row>
                    <xdr:rowOff>133350</xdr:rowOff>
                  </from>
                  <to>
                    <xdr:col>7</xdr:col>
                    <xdr:colOff>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9" r:id="rId85" name="Group Box 197">
              <controlPr defaultSize="0" autoFill="0" autoPict="0">
                <anchor moveWithCells="1">
                  <from>
                    <xdr:col>2</xdr:col>
                    <xdr:colOff>323850</xdr:colOff>
                    <xdr:row>45</xdr:row>
                    <xdr:rowOff>133350</xdr:rowOff>
                  </from>
                  <to>
                    <xdr:col>7</xdr:col>
                    <xdr:colOff>0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" r:id="rId86" name="Group Box 205">
              <controlPr defaultSize="0" autoFill="0" autoPict="0">
                <anchor moveWithCells="1">
                  <from>
                    <xdr:col>2</xdr:col>
                    <xdr:colOff>323850</xdr:colOff>
                    <xdr:row>53</xdr:row>
                    <xdr:rowOff>133350</xdr:rowOff>
                  </from>
                  <to>
                    <xdr:col>7</xdr:col>
                    <xdr:colOff>0</xdr:colOff>
                    <xdr:row>55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1</vt:i4>
      </vt:variant>
    </vt:vector>
  </HeadingPairs>
  <TitlesOfParts>
    <vt:vector size="17" baseType="lpstr">
      <vt:lpstr>pomocny</vt:lpstr>
      <vt:lpstr>titul</vt:lpstr>
      <vt:lpstr>data</vt:lpstr>
      <vt:lpstr>popisné charakteristiky</vt:lpstr>
      <vt:lpstr>bodové rozdělení</vt:lpstr>
      <vt:lpstr>intervalové rozdělení</vt:lpstr>
      <vt:lpstr>1V - normální</vt:lpstr>
      <vt:lpstr>1V - libovolné</vt:lpstr>
      <vt:lpstr>2V - normální</vt:lpstr>
      <vt:lpstr>2V - libovolné</vt:lpstr>
      <vt:lpstr>2V - párový test</vt:lpstr>
      <vt:lpstr>1V a 2V - podíly</vt:lpstr>
      <vt:lpstr>kontingenční tabulka</vt:lpstr>
      <vt:lpstr>tabulky </vt:lpstr>
      <vt:lpstr>tabulky_old</vt:lpstr>
      <vt:lpstr>tabulky_old2</vt:lpstr>
      <vt:lpstr>název</vt:lpstr>
    </vt:vector>
  </TitlesOfParts>
  <Company>UO Brno, FEM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Aplikace STAT1</dc:title>
  <dc:subject/>
  <dc:creator>Jiří Neubauer, Marek Sedlačík, Oldřich Kříž</dc:creator>
  <cp:keywords>statistika</cp:keywords>
  <dc:description>Jiří Neubauer, Marek Sedlačík, Oldřich Kříž: Aplikace STAT1. FEM UO Brno.
verze ze dne 12.12.2012</dc:description>
  <cp:lastModifiedBy>Neubauer Jiří</cp:lastModifiedBy>
  <cp:lastPrinted>2008-12-10T20:45:02Z</cp:lastPrinted>
  <dcterms:created xsi:type="dcterms:W3CDTF">2006-11-13T13:57:32Z</dcterms:created>
  <dcterms:modified xsi:type="dcterms:W3CDTF">2021-08-31T11:55:00Z</dcterms:modified>
  <cp:contentStatus>ver. 12.12.2012</cp:contentStatus>
</cp:coreProperties>
</file>