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G:\Publ 2019\excel\Nová verze\Kap 6\priklady\"/>
    </mc:Choice>
  </mc:AlternateContent>
  <xr:revisionPtr revIDLastSave="0" documentId="13_ncr:1_{50184586-E69D-4A0E-AC1B-E0EC584D6807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Úročení" sheetId="2" r:id="rId1"/>
    <sheet name="Úvěr" sheetId="3" r:id="rId2"/>
    <sheet name="Splátky a výnosy" sheetId="4" r:id="rId3"/>
    <sheet name="Další úvěrové funkce" sheetId="1" r:id="rId4"/>
    <sheet name="Přepočet úrokových sazeb" sheetId="5" r:id="rId5"/>
    <sheet name="Stálá splátka jistiny" sheetId="6" r:id="rId6"/>
    <sheet name="Investice1" sheetId="7" r:id="rId7"/>
    <sheet name="Investice2" sheetId="8" r:id="rId8"/>
    <sheet name="Odpisy" sheetId="10" r:id="rId9"/>
    <sheet name="Další funkce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2" i="9" l="1"/>
  <c r="G21" i="10" l="1"/>
  <c r="G23" i="10" s="1"/>
  <c r="D21" i="10"/>
  <c r="D23" i="10" s="1"/>
  <c r="G9" i="10"/>
  <c r="G8" i="10"/>
  <c r="G10" i="10" s="1"/>
  <c r="D8" i="10"/>
  <c r="D11" i="10" s="1"/>
  <c r="G11" i="10" l="1"/>
  <c r="G49" i="10"/>
  <c r="G45" i="10"/>
  <c r="G41" i="10"/>
  <c r="G37" i="10"/>
  <c r="G33" i="10"/>
  <c r="G29" i="10"/>
  <c r="G25" i="10"/>
  <c r="G22" i="10"/>
  <c r="G47" i="10"/>
  <c r="G43" i="10"/>
  <c r="G39" i="10"/>
  <c r="G35" i="10"/>
  <c r="G31" i="10"/>
  <c r="G27" i="10"/>
  <c r="D12" i="10"/>
  <c r="D10" i="10"/>
  <c r="D50" i="10"/>
  <c r="D48" i="10"/>
  <c r="D46" i="10"/>
  <c r="D44" i="10"/>
  <c r="D42" i="10"/>
  <c r="D40" i="10"/>
  <c r="D38" i="10"/>
  <c r="D36" i="10"/>
  <c r="D34" i="10"/>
  <c r="D32" i="10"/>
  <c r="D30" i="10"/>
  <c r="D28" i="10"/>
  <c r="D26" i="10"/>
  <c r="D24" i="10"/>
  <c r="D9" i="10"/>
  <c r="D13" i="10" s="1"/>
  <c r="G12" i="10"/>
  <c r="G13" i="10" s="1"/>
  <c r="D22" i="10"/>
  <c r="D49" i="10"/>
  <c r="D47" i="10"/>
  <c r="D45" i="10"/>
  <c r="D43" i="10"/>
  <c r="D41" i="10"/>
  <c r="D39" i="10"/>
  <c r="D37" i="10"/>
  <c r="D35" i="10"/>
  <c r="D33" i="10"/>
  <c r="D31" i="10"/>
  <c r="D29" i="10"/>
  <c r="D27" i="10"/>
  <c r="D25" i="10"/>
  <c r="G50" i="10"/>
  <c r="G48" i="10"/>
  <c r="G46" i="10"/>
  <c r="G44" i="10"/>
  <c r="G42" i="10"/>
  <c r="G40" i="10"/>
  <c r="G38" i="10"/>
  <c r="G36" i="10"/>
  <c r="G34" i="10"/>
  <c r="G32" i="10"/>
  <c r="G30" i="10"/>
  <c r="G28" i="10"/>
  <c r="G26" i="10"/>
  <c r="G24" i="10"/>
  <c r="G51" i="10" s="1"/>
  <c r="E42" i="9"/>
  <c r="E41" i="9"/>
  <c r="E32" i="9"/>
  <c r="E31" i="9"/>
  <c r="E21" i="9"/>
  <c r="G11" i="9"/>
  <c r="G12" i="9"/>
  <c r="G13" i="9"/>
  <c r="G10" i="9"/>
  <c r="G7" i="9"/>
  <c r="G8" i="9"/>
  <c r="G9" i="9"/>
  <c r="G6" i="9"/>
  <c r="G3" i="9"/>
  <c r="G4" i="9"/>
  <c r="G5" i="9"/>
  <c r="G2" i="9"/>
  <c r="E10" i="9"/>
  <c r="D51" i="10" l="1"/>
  <c r="E11" i="9"/>
  <c r="D20" i="8"/>
  <c r="D19" i="8"/>
  <c r="D18" i="8"/>
  <c r="C20" i="8"/>
  <c r="C19" i="8"/>
  <c r="C18" i="8"/>
  <c r="C15" i="8"/>
  <c r="C14" i="8"/>
  <c r="C13" i="8"/>
  <c r="E19" i="7" l="1"/>
  <c r="E18" i="7"/>
  <c r="E17" i="7"/>
  <c r="D19" i="7"/>
  <c r="D18" i="7"/>
  <c r="D17" i="7"/>
  <c r="C19" i="7"/>
  <c r="C18" i="7"/>
  <c r="C17" i="7"/>
  <c r="C14" i="7"/>
  <c r="C13" i="7"/>
  <c r="C12" i="7"/>
  <c r="J10" i="6" l="1"/>
  <c r="J11" i="6" s="1"/>
  <c r="C12" i="6"/>
  <c r="G12" i="6" s="1"/>
  <c r="C13" i="6"/>
  <c r="C14" i="6"/>
  <c r="G14" i="6" s="1"/>
  <c r="C15" i="6"/>
  <c r="G15" i="6" s="1"/>
  <c r="C16" i="6"/>
  <c r="C17" i="6"/>
  <c r="G17" i="6" s="1"/>
  <c r="C18" i="6"/>
  <c r="G18" i="6" s="1"/>
  <c r="C19" i="6"/>
  <c r="C20" i="6"/>
  <c r="G20" i="6" s="1"/>
  <c r="C21" i="6"/>
  <c r="G21" i="6" s="1"/>
  <c r="C22" i="6"/>
  <c r="C23" i="6"/>
  <c r="G23" i="6" s="1"/>
  <c r="C24" i="6"/>
  <c r="G24" i="6" s="1"/>
  <c r="C25" i="6"/>
  <c r="C26" i="6"/>
  <c r="G26" i="6" s="1"/>
  <c r="C27" i="6"/>
  <c r="G27" i="6" s="1"/>
  <c r="C28" i="6"/>
  <c r="C29" i="6"/>
  <c r="G29" i="6" s="1"/>
  <c r="C30" i="6"/>
  <c r="G30" i="6" s="1"/>
  <c r="C31" i="6"/>
  <c r="C32" i="6"/>
  <c r="G32" i="6" s="1"/>
  <c r="C33" i="6"/>
  <c r="G33" i="6" s="1"/>
  <c r="C34" i="6"/>
  <c r="C35" i="6"/>
  <c r="G35" i="6" s="1"/>
  <c r="C36" i="6"/>
  <c r="G36" i="6" s="1"/>
  <c r="C37" i="6"/>
  <c r="C38" i="6"/>
  <c r="G38" i="6" s="1"/>
  <c r="C39" i="6"/>
  <c r="G39" i="6" s="1"/>
  <c r="C40" i="6"/>
  <c r="C41" i="6"/>
  <c r="G41" i="6" s="1"/>
  <c r="C42" i="6"/>
  <c r="G42" i="6" s="1"/>
  <c r="C43" i="6"/>
  <c r="C44" i="6"/>
  <c r="G44" i="6" s="1"/>
  <c r="C45" i="6"/>
  <c r="G45" i="6" s="1"/>
  <c r="C46" i="6"/>
  <c r="C11" i="6"/>
  <c r="G11" i="6" s="1"/>
  <c r="D11" i="6" l="1"/>
  <c r="C47" i="6"/>
  <c r="D11" i="1"/>
  <c r="C11" i="1"/>
  <c r="D8" i="1"/>
  <c r="D12" i="6" l="1"/>
  <c r="D13" i="6" s="1"/>
  <c r="D14" i="6" s="1"/>
  <c r="E28" i="4"/>
  <c r="E29" i="4"/>
  <c r="E18" i="4"/>
  <c r="D12" i="3"/>
  <c r="C12" i="3"/>
  <c r="D15" i="6" l="1"/>
  <c r="D16" i="6" s="1"/>
  <c r="D17" i="6" s="1"/>
  <c r="E13" i="6"/>
  <c r="F13" i="6" s="1"/>
  <c r="G6" i="5"/>
  <c r="G5" i="5"/>
  <c r="E16" i="6" l="1"/>
  <c r="F16" i="6" s="1"/>
  <c r="G16" i="6" s="1"/>
  <c r="G13" i="6"/>
  <c r="D18" i="6"/>
  <c r="D19" i="6" s="1"/>
  <c r="D20" i="6" s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12" i="1"/>
  <c r="G12" i="1"/>
  <c r="F13" i="1"/>
  <c r="G13" i="1"/>
  <c r="G11" i="1"/>
  <c r="F11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C12" i="1"/>
  <c r="E12" i="1" s="1"/>
  <c r="C13" i="1"/>
  <c r="C14" i="1"/>
  <c r="E14" i="1" s="1"/>
  <c r="C15" i="1"/>
  <c r="C16" i="1"/>
  <c r="E16" i="1" s="1"/>
  <c r="C17" i="1"/>
  <c r="C18" i="1"/>
  <c r="E18" i="1" s="1"/>
  <c r="C19" i="1"/>
  <c r="C20" i="1"/>
  <c r="E20" i="1" s="1"/>
  <c r="C21" i="1"/>
  <c r="C22" i="1"/>
  <c r="E22" i="1" s="1"/>
  <c r="C23" i="1"/>
  <c r="C24" i="1"/>
  <c r="E24" i="1" s="1"/>
  <c r="C25" i="1"/>
  <c r="E25" i="1" s="1"/>
  <c r="C26" i="1"/>
  <c r="C27" i="1"/>
  <c r="E27" i="1" s="1"/>
  <c r="C28" i="1"/>
  <c r="C29" i="1"/>
  <c r="E29" i="1" s="1"/>
  <c r="C30" i="1"/>
  <c r="C31" i="1"/>
  <c r="E31" i="1" s="1"/>
  <c r="C32" i="1"/>
  <c r="C33" i="1"/>
  <c r="E33" i="1" s="1"/>
  <c r="C34" i="1"/>
  <c r="C35" i="1"/>
  <c r="E35" i="1" s="1"/>
  <c r="C36" i="1"/>
  <c r="C37" i="1"/>
  <c r="E37" i="1" s="1"/>
  <c r="C38" i="1"/>
  <c r="C39" i="1"/>
  <c r="E39" i="1" s="1"/>
  <c r="C40" i="1"/>
  <c r="C41" i="1"/>
  <c r="E41" i="1" s="1"/>
  <c r="C42" i="1"/>
  <c r="C43" i="1"/>
  <c r="E43" i="1" s="1"/>
  <c r="C44" i="1"/>
  <c r="C45" i="1"/>
  <c r="E45" i="1" s="1"/>
  <c r="C46" i="1"/>
  <c r="E19" i="6" l="1"/>
  <c r="F19" i="6" s="1"/>
  <c r="G19" i="6" s="1"/>
  <c r="C47" i="1"/>
  <c r="E23" i="1"/>
  <c r="E21" i="1"/>
  <c r="E19" i="1"/>
  <c r="E17" i="1"/>
  <c r="E15" i="1"/>
  <c r="E13" i="1"/>
  <c r="D21" i="6"/>
  <c r="D22" i="6" s="1"/>
  <c r="D23" i="6" s="1"/>
  <c r="D47" i="1"/>
  <c r="E46" i="1"/>
  <c r="E44" i="1"/>
  <c r="E42" i="1"/>
  <c r="E40" i="1"/>
  <c r="E38" i="1"/>
  <c r="E36" i="1"/>
  <c r="E34" i="1"/>
  <c r="E32" i="1"/>
  <c r="E30" i="1"/>
  <c r="E28" i="1"/>
  <c r="E26" i="1"/>
  <c r="H11" i="1"/>
  <c r="H13" i="1"/>
  <c r="H12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E11" i="1"/>
  <c r="E39" i="4"/>
  <c r="E38" i="4"/>
  <c r="E19" i="4"/>
  <c r="E9" i="4"/>
  <c r="E8" i="4"/>
  <c r="E47" i="1" l="1"/>
  <c r="D24" i="6"/>
  <c r="D25" i="6" s="1"/>
  <c r="D26" i="6" s="1"/>
  <c r="E25" i="6"/>
  <c r="F25" i="6" s="1"/>
  <c r="G25" i="6" s="1"/>
  <c r="E22" i="6"/>
  <c r="F22" i="6" s="1"/>
  <c r="G22" i="6" l="1"/>
  <c r="D27" i="6"/>
  <c r="D28" i="6" s="1"/>
  <c r="D29" i="6" s="1"/>
  <c r="E28" i="6" l="1"/>
  <c r="F28" i="6" s="1"/>
  <c r="G28" i="6" s="1"/>
  <c r="D30" i="6"/>
  <c r="D31" i="6" s="1"/>
  <c r="D32" i="6" s="1"/>
  <c r="D13" i="3"/>
  <c r="E12" i="3"/>
  <c r="C13" i="3"/>
  <c r="D33" i="6" l="1"/>
  <c r="D34" i="6" s="1"/>
  <c r="D35" i="6" s="1"/>
  <c r="E31" i="6"/>
  <c r="F31" i="6" s="1"/>
  <c r="D25" i="2"/>
  <c r="E34" i="6" l="1"/>
  <c r="F34" i="6" s="1"/>
  <c r="G34" i="6" s="1"/>
  <c r="G31" i="6"/>
  <c r="D36" i="6"/>
  <c r="D37" i="6" s="1"/>
  <c r="D38" i="6" s="1"/>
  <c r="E37" i="6" l="1"/>
  <c r="F37" i="6" s="1"/>
  <c r="G37" i="6" s="1"/>
  <c r="D39" i="6"/>
  <c r="D40" i="6" s="1"/>
  <c r="D41" i="6" s="1"/>
  <c r="E40" i="6" l="1"/>
  <c r="F40" i="6" s="1"/>
  <c r="G40" i="6" s="1"/>
  <c r="D42" i="6"/>
  <c r="D43" i="6" s="1"/>
  <c r="D44" i="6" s="1"/>
  <c r="E43" i="6" l="1"/>
  <c r="F43" i="6" s="1"/>
  <c r="G43" i="6" s="1"/>
  <c r="D45" i="6"/>
  <c r="D46" i="6" s="1"/>
  <c r="E46" i="6"/>
  <c r="F46" i="6" s="1"/>
  <c r="G46" i="6" l="1"/>
  <c r="G47" i="6" s="1"/>
  <c r="F47" i="6"/>
</calcChain>
</file>

<file path=xl/sharedStrings.xml><?xml version="1.0" encoding="utf-8"?>
<sst xmlns="http://schemas.openxmlformats.org/spreadsheetml/2006/main" count="178" uniqueCount="129">
  <si>
    <t>Rok</t>
  </si>
  <si>
    <t>Částka</t>
  </si>
  <si>
    <t>Připsání úroků (10%)</t>
  </si>
  <si>
    <t>Počátek</t>
  </si>
  <si>
    <t>ročně</t>
  </si>
  <si>
    <t>měsíčně</t>
  </si>
  <si>
    <t>Souč_hod</t>
  </si>
  <si>
    <t>Sazba</t>
  </si>
  <si>
    <t>Pper</t>
  </si>
  <si>
    <t>Splátka</t>
  </si>
  <si>
    <t>Bud_hodnota</t>
  </si>
  <si>
    <t>Výpočet pomocí funkce BUDHODNOTA</t>
  </si>
  <si>
    <t>A</t>
  </si>
  <si>
    <t>B</t>
  </si>
  <si>
    <t>C</t>
  </si>
  <si>
    <t>Varianta</t>
  </si>
  <si>
    <t>Platba/měsíc</t>
  </si>
  <si>
    <t>Celkem zaplatit</t>
  </si>
  <si>
    <t>Výběr nejvhodnější varianty úvěru</t>
  </si>
  <si>
    <t>Měsíční splátka</t>
  </si>
  <si>
    <t>Doba půjčky (měsíce)</t>
  </si>
  <si>
    <t>Výše půjčky</t>
  </si>
  <si>
    <t xml:space="preserve">Úrok </t>
  </si>
  <si>
    <t>Splátka bez úroků</t>
  </si>
  <si>
    <t>Výpočet splátky dluhu</t>
  </si>
  <si>
    <t>Výpočet výchozí uložené částky</t>
  </si>
  <si>
    <t>Měsíční výběr</t>
  </si>
  <si>
    <t>Počet let příjmů</t>
  </si>
  <si>
    <t>Úrok</t>
  </si>
  <si>
    <t>Na počátku uložit</t>
  </si>
  <si>
    <t>Výpočet bez úroků</t>
  </si>
  <si>
    <t>Výpočet konečné uložené částky</t>
  </si>
  <si>
    <t>Počet let spoření</t>
  </si>
  <si>
    <t>Měsíční úložka</t>
  </si>
  <si>
    <t>Naspořeno</t>
  </si>
  <si>
    <t>Výše úvěru</t>
  </si>
  <si>
    <t>Splátkový kalendář</t>
  </si>
  <si>
    <t>Období</t>
  </si>
  <si>
    <t>Období (měsíc)</t>
  </si>
  <si>
    <t>Jistina</t>
  </si>
  <si>
    <t>Celkem</t>
  </si>
  <si>
    <t>Jistina kumulativně</t>
  </si>
  <si>
    <t>Úrok kumulativně</t>
  </si>
  <si>
    <t>Kontrolní výpočet splátky</t>
  </si>
  <si>
    <t>Účet</t>
  </si>
  <si>
    <t>Úročení</t>
  </si>
  <si>
    <t>Nominální sazba</t>
  </si>
  <si>
    <t>Efektivní sazba</t>
  </si>
  <si>
    <t>Za rok</t>
  </si>
  <si>
    <t>Placení</t>
  </si>
  <si>
    <t>Délka (roky)</t>
  </si>
  <si>
    <t>na konci</t>
  </si>
  <si>
    <t>na začátku</t>
  </si>
  <si>
    <t>Na počátku uloženo</t>
  </si>
  <si>
    <t>Výpočet počtu období</t>
  </si>
  <si>
    <t>Doba  (měsíce)</t>
  </si>
  <si>
    <t>Doba splácení (roky)</t>
  </si>
  <si>
    <t>Úroková míra (rok)</t>
  </si>
  <si>
    <t>Výška úvěru</t>
  </si>
  <si>
    <t>Doba splácení</t>
  </si>
  <si>
    <t>Splátka jistiny</t>
  </si>
  <si>
    <t>Úroky</t>
  </si>
  <si>
    <t>Zůstatek</t>
  </si>
  <si>
    <t>Průměr</t>
  </si>
  <si>
    <t>Zaplatit</t>
  </si>
  <si>
    <t>Stálá splátka jistiny</t>
  </si>
  <si>
    <t>Stálá platba</t>
  </si>
  <si>
    <t>Investice</t>
  </si>
  <si>
    <t>Čistý zisk za 1. rok</t>
  </si>
  <si>
    <t>Čistý zisk za 2. rok</t>
  </si>
  <si>
    <t>Čistý zisk za 3. rok</t>
  </si>
  <si>
    <t>Diskontní sazby</t>
  </si>
  <si>
    <t>Pesimistická</t>
  </si>
  <si>
    <t>Optimistická</t>
  </si>
  <si>
    <t>Střední</t>
  </si>
  <si>
    <t>NPV pesimistické</t>
  </si>
  <si>
    <t>NPV střední</t>
  </si>
  <si>
    <t>NPV optimistické</t>
  </si>
  <si>
    <t>Za 1 rok</t>
  </si>
  <si>
    <t>Za 2 roky</t>
  </si>
  <si>
    <t>Za 3 roky</t>
  </si>
  <si>
    <t>NPV</t>
  </si>
  <si>
    <t>IRR</t>
  </si>
  <si>
    <t>Úrok pro výnosy z investice</t>
  </si>
  <si>
    <t>MIRR</t>
  </si>
  <si>
    <t>Výpočet splátkového kalendáře</t>
  </si>
  <si>
    <t>Porovnání dvou účtů</t>
  </si>
  <si>
    <t>Periodické finanční toky</t>
  </si>
  <si>
    <t>Neperiodické finanční toky</t>
  </si>
  <si>
    <t>Tok</t>
  </si>
  <si>
    <t>Datum</t>
  </si>
  <si>
    <t>Za 1. období</t>
  </si>
  <si>
    <t>Za 2. období</t>
  </si>
  <si>
    <t>Za 3. období</t>
  </si>
  <si>
    <t>Čistý zisk za 1.období</t>
  </si>
  <si>
    <t>Čistý zisk  za 2.období</t>
  </si>
  <si>
    <t>Čistý zisk  za 3.období</t>
  </si>
  <si>
    <t>Úrok pro pořízení investice</t>
  </si>
  <si>
    <t>Uložená částka</t>
  </si>
  <si>
    <t>Úrok pro 1.rok</t>
  </si>
  <si>
    <t>Úrok pro 2.rok</t>
  </si>
  <si>
    <t>Úrok pro 3.rok</t>
  </si>
  <si>
    <t>Proměnlivá úroková sazba</t>
  </si>
  <si>
    <t>Roční zúročení</t>
  </si>
  <si>
    <t>Měsíční zúročení</t>
  </si>
  <si>
    <t>Čtvrtletní zúročení</t>
  </si>
  <si>
    <t>Výše úroku z jistiny</t>
  </si>
  <si>
    <t>Úroková sazba</t>
  </si>
  <si>
    <t>Počet plateb</t>
  </si>
  <si>
    <t>Číslo platby</t>
  </si>
  <si>
    <t>ISPMT</t>
  </si>
  <si>
    <t>PLATBA.ÚROK</t>
  </si>
  <si>
    <t>Počet období</t>
  </si>
  <si>
    <t>Konečná částka</t>
  </si>
  <si>
    <t>Roky</t>
  </si>
  <si>
    <t>Měsíce</t>
  </si>
  <si>
    <t>Výpočet úrokové míry</t>
  </si>
  <si>
    <t>XNPV</t>
  </si>
  <si>
    <t>XIRR</t>
  </si>
  <si>
    <t>Investice a příjmy</t>
  </si>
  <si>
    <t>Osobní auto</t>
  </si>
  <si>
    <t>Rovnoměrný odpis</t>
  </si>
  <si>
    <t>Zrychlený odpis</t>
  </si>
  <si>
    <t>Cena</t>
  </si>
  <si>
    <t>Sazba 1.rok</t>
  </si>
  <si>
    <t>Koeficient 1.rok</t>
  </si>
  <si>
    <t>Skupina</t>
  </si>
  <si>
    <t>Doba roků</t>
  </si>
  <si>
    <t>Budova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</si>
</sst>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Kč&quot;;[Red]\-#,##0.00\ &quot;Kč&quot;"/>
    <numFmt numFmtId="42" formatCode="_-* #,##0\ &quot;Kč&quot;_-;\-* #,##0\ &quot;Kč&quot;_-;_-* &quot;-&quot;\ &quot;Kč&quot;_-;_-@_-"/>
    <numFmt numFmtId="164" formatCode="#,##0.00\ &quot;Kč&quot;"/>
    <numFmt numFmtId="165" formatCode="0.0%"/>
    <numFmt numFmtId="166" formatCode="0.000%"/>
    <numFmt numFmtId="167" formatCode="#,##0\ &quot;Kč&quot;"/>
    <numFmt numFmtId="168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3" fontId="0" fillId="0" borderId="0" xfId="0" applyNumberFormat="1"/>
    <xf numFmtId="0" fontId="1" fillId="0" borderId="0" xfId="0" applyFont="1"/>
    <xf numFmtId="8" fontId="0" fillId="0" borderId="0" xfId="0" applyNumberFormat="1"/>
    <xf numFmtId="0" fontId="2" fillId="0" borderId="0" xfId="0" applyFont="1"/>
    <xf numFmtId="9" fontId="0" fillId="0" borderId="0" xfId="0" applyNumberFormat="1"/>
    <xf numFmtId="166" fontId="0" fillId="0" borderId="0" xfId="0" applyNumberFormat="1"/>
    <xf numFmtId="10" fontId="0" fillId="0" borderId="0" xfId="0" applyNumberFormat="1"/>
    <xf numFmtId="0" fontId="0" fillId="0" borderId="1" xfId="0" applyBorder="1"/>
    <xf numFmtId="0" fontId="0" fillId="0" borderId="2" xfId="0" applyBorder="1"/>
    <xf numFmtId="10" fontId="0" fillId="0" borderId="2" xfId="0" applyNumberFormat="1" applyBorder="1"/>
    <xf numFmtId="9" fontId="0" fillId="0" borderId="2" xfId="0" applyNumberFormat="1" applyBorder="1"/>
    <xf numFmtId="165" fontId="0" fillId="0" borderId="2" xfId="0" applyNumberFormat="1" applyBorder="1"/>
    <xf numFmtId="0" fontId="0" fillId="0" borderId="3" xfId="0" applyBorder="1"/>
    <xf numFmtId="164" fontId="0" fillId="0" borderId="0" xfId="0" applyNumberFormat="1"/>
    <xf numFmtId="164" fontId="0" fillId="0" borderId="1" xfId="0" applyNumberFormat="1" applyBorder="1"/>
    <xf numFmtId="9" fontId="0" fillId="0" borderId="1" xfId="0" applyNumberFormat="1" applyBorder="1"/>
    <xf numFmtId="165" fontId="0" fillId="0" borderId="1" xfId="0" applyNumberFormat="1" applyBorder="1"/>
    <xf numFmtId="10" fontId="0" fillId="0" borderId="1" xfId="0" applyNumberFormat="1" applyBorder="1"/>
    <xf numFmtId="0" fontId="2" fillId="0" borderId="1" xfId="0" applyFont="1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4" fontId="1" fillId="0" borderId="3" xfId="0" applyNumberFormat="1" applyFont="1" applyFill="1" applyBorder="1"/>
    <xf numFmtId="167" fontId="0" fillId="0" borderId="0" xfId="0" applyNumberFormat="1"/>
    <xf numFmtId="8" fontId="0" fillId="0" borderId="1" xfId="0" applyNumberFormat="1" applyFont="1" applyBorder="1"/>
    <xf numFmtId="167" fontId="0" fillId="0" borderId="1" xfId="0" applyNumberFormat="1" applyBorder="1"/>
    <xf numFmtId="8" fontId="0" fillId="0" borderId="2" xfId="0" applyNumberFormat="1" applyBorder="1"/>
    <xf numFmtId="8" fontId="0" fillId="0" borderId="3" xfId="0" applyNumberFormat="1" applyBorder="1"/>
    <xf numFmtId="10" fontId="0" fillId="0" borderId="3" xfId="0" applyNumberFormat="1" applyBorder="1"/>
    <xf numFmtId="0" fontId="1" fillId="0" borderId="1" xfId="0" applyFont="1" applyBorder="1"/>
    <xf numFmtId="0" fontId="2" fillId="0" borderId="1" xfId="0" applyFont="1" applyBorder="1"/>
    <xf numFmtId="10" fontId="0" fillId="0" borderId="2" xfId="0" applyNumberFormat="1" applyBorder="1" applyAlignment="1">
      <alignment horizontal="center"/>
    </xf>
    <xf numFmtId="9" fontId="0" fillId="0" borderId="2" xfId="0" applyNumberFormat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9" fontId="0" fillId="0" borderId="0" xfId="0" applyNumberFormat="1" applyBorder="1"/>
    <xf numFmtId="168" fontId="0" fillId="0" borderId="0" xfId="0" applyNumberFormat="1"/>
    <xf numFmtId="167" fontId="0" fillId="0" borderId="2" xfId="0" applyNumberFormat="1" applyBorder="1"/>
    <xf numFmtId="0" fontId="1" fillId="0" borderId="0" xfId="0" applyFont="1" applyFill="1" applyBorder="1"/>
    <xf numFmtId="8" fontId="0" fillId="0" borderId="1" xfId="0" applyNumberFormat="1" applyBorder="1"/>
    <xf numFmtId="0" fontId="0" fillId="0" borderId="1" xfId="0" applyFont="1" applyFill="1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0" borderId="2" xfId="0" applyBorder="1" applyAlignment="1">
      <alignment horizontal="left" indent="1"/>
    </xf>
    <xf numFmtId="0" fontId="0" fillId="0" borderId="3" xfId="0" applyBorder="1" applyAlignment="1">
      <alignment horizontal="left" indent="1"/>
    </xf>
    <xf numFmtId="167" fontId="0" fillId="0" borderId="3" xfId="0" applyNumberFormat="1" applyBorder="1"/>
    <xf numFmtId="0" fontId="0" fillId="0" borderId="0" xfId="0" applyFill="1" applyBorder="1" applyAlignment="1">
      <alignment horizontal="left" indent="1"/>
    </xf>
    <xf numFmtId="0" fontId="2" fillId="0" borderId="1" xfId="0" applyFont="1" applyFill="1" applyBorder="1" applyAlignment="1">
      <alignment horizontal="left" indent="1"/>
    </xf>
    <xf numFmtId="0" fontId="0" fillId="0" borderId="2" xfId="0" applyFill="1" applyBorder="1" applyAlignment="1">
      <alignment horizontal="left" indent="1"/>
    </xf>
    <xf numFmtId="0" fontId="0" fillId="0" borderId="3" xfId="0" applyFill="1" applyBorder="1" applyAlignment="1">
      <alignment horizontal="left" indent="1"/>
    </xf>
    <xf numFmtId="9" fontId="0" fillId="0" borderId="3" xfId="0" applyNumberFormat="1" applyBorder="1"/>
    <xf numFmtId="0" fontId="0" fillId="0" borderId="4" xfId="0" applyFill="1" applyBorder="1" applyAlignment="1">
      <alignment horizontal="left" indent="1"/>
    </xf>
    <xf numFmtId="8" fontId="0" fillId="0" borderId="4" xfId="0" applyNumberFormat="1" applyBorder="1"/>
    <xf numFmtId="165" fontId="0" fillId="0" borderId="3" xfId="0" applyNumberFormat="1" applyBorder="1"/>
    <xf numFmtId="9" fontId="0" fillId="0" borderId="4" xfId="0" applyNumberFormat="1" applyBorder="1"/>
    <xf numFmtId="0" fontId="0" fillId="0" borderId="4" xfId="0" applyBorder="1" applyAlignment="1">
      <alignment horizontal="left" indent="1"/>
    </xf>
    <xf numFmtId="165" fontId="0" fillId="0" borderId="4" xfId="0" applyNumberFormat="1" applyBorder="1"/>
    <xf numFmtId="167" fontId="0" fillId="0" borderId="4" xfId="0" applyNumberFormat="1" applyBorder="1"/>
    <xf numFmtId="14" fontId="0" fillId="0" borderId="4" xfId="0" applyNumberFormat="1" applyBorder="1"/>
    <xf numFmtId="14" fontId="0" fillId="0" borderId="2" xfId="0" applyNumberFormat="1" applyBorder="1"/>
    <xf numFmtId="14" fontId="0" fillId="0" borderId="3" xfId="0" applyNumberFormat="1" applyBorder="1"/>
    <xf numFmtId="42" fontId="0" fillId="0" borderId="1" xfId="0" applyNumberFormat="1" applyBorder="1"/>
    <xf numFmtId="167" fontId="0" fillId="0" borderId="1" xfId="0" applyNumberFormat="1" applyBorder="1" applyAlignment="1">
      <alignment horizontal="left" indent="1"/>
    </xf>
    <xf numFmtId="0" fontId="2" fillId="0" borderId="0" xfId="0" applyFon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left" indent="1"/>
    </xf>
    <xf numFmtId="167" fontId="0" fillId="0" borderId="0" xfId="0" applyNumberFormat="1" applyBorder="1"/>
    <xf numFmtId="0" fontId="1" fillId="0" borderId="0" xfId="0" applyFont="1" applyAlignment="1">
      <alignment horizontal="center"/>
    </xf>
    <xf numFmtId="167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0" xfId="0" applyNumberFormat="1" applyBorder="1"/>
    <xf numFmtId="0" fontId="2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5"/>
  <sheetViews>
    <sheetView tabSelected="1" workbookViewId="0"/>
  </sheetViews>
  <sheetFormatPr defaultRowHeight="15" x14ac:dyDescent="0.25"/>
  <cols>
    <col min="4" max="4" width="12.140625" bestFit="1" customWidth="1"/>
  </cols>
  <sheetData>
    <row r="2" spans="2:3" x14ac:dyDescent="0.25">
      <c r="B2" s="2" t="s">
        <v>2</v>
      </c>
    </row>
    <row r="4" spans="2:3" x14ac:dyDescent="0.25">
      <c r="B4" s="2" t="s">
        <v>0</v>
      </c>
      <c r="C4" s="2" t="s">
        <v>1</v>
      </c>
    </row>
    <row r="5" spans="2:3" x14ac:dyDescent="0.25">
      <c r="B5" t="s">
        <v>3</v>
      </c>
      <c r="C5" s="1">
        <v>10000</v>
      </c>
    </row>
    <row r="6" spans="2:3" x14ac:dyDescent="0.25">
      <c r="B6">
        <v>1</v>
      </c>
      <c r="C6" s="1">
        <v>11000</v>
      </c>
    </row>
    <row r="7" spans="2:3" x14ac:dyDescent="0.25">
      <c r="B7">
        <v>2</v>
      </c>
      <c r="C7" s="1">
        <v>12100.000000000002</v>
      </c>
    </row>
    <row r="8" spans="2:3" x14ac:dyDescent="0.25">
      <c r="B8">
        <v>3</v>
      </c>
      <c r="C8" s="1">
        <v>13310.000000000004</v>
      </c>
    </row>
    <row r="9" spans="2:3" x14ac:dyDescent="0.25">
      <c r="B9">
        <v>4</v>
      </c>
      <c r="C9" s="1">
        <v>14641.000000000004</v>
      </c>
    </row>
    <row r="10" spans="2:3" x14ac:dyDescent="0.25">
      <c r="B10">
        <v>5</v>
      </c>
      <c r="C10" s="1">
        <v>16105.100000000006</v>
      </c>
    </row>
    <row r="11" spans="2:3" x14ac:dyDescent="0.25">
      <c r="B11">
        <v>6</v>
      </c>
      <c r="C11" s="1">
        <v>17715.610000000008</v>
      </c>
    </row>
    <row r="12" spans="2:3" x14ac:dyDescent="0.25">
      <c r="B12">
        <v>7</v>
      </c>
      <c r="C12" s="1">
        <v>19487.171000000013</v>
      </c>
    </row>
    <row r="13" spans="2:3" x14ac:dyDescent="0.25">
      <c r="B13">
        <v>8</v>
      </c>
      <c r="C13" s="1">
        <v>21435.888100000011</v>
      </c>
    </row>
    <row r="14" spans="2:3" x14ac:dyDescent="0.25">
      <c r="B14">
        <v>9</v>
      </c>
      <c r="C14" s="1">
        <v>23579.476910000016</v>
      </c>
    </row>
    <row r="15" spans="2:3" x14ac:dyDescent="0.25">
      <c r="B15">
        <v>10</v>
      </c>
      <c r="C15" s="1">
        <v>25937.424601000017</v>
      </c>
    </row>
    <row r="18" spans="2:4" x14ac:dyDescent="0.25">
      <c r="B18" s="2" t="s">
        <v>11</v>
      </c>
    </row>
    <row r="20" spans="2:4" x14ac:dyDescent="0.25">
      <c r="B20" t="s">
        <v>7</v>
      </c>
      <c r="D20" s="5">
        <v>0.1</v>
      </c>
    </row>
    <row r="21" spans="2:4" x14ac:dyDescent="0.25">
      <c r="B21" t="s">
        <v>8</v>
      </c>
      <c r="D21">
        <v>10</v>
      </c>
    </row>
    <row r="22" spans="2:4" x14ac:dyDescent="0.25">
      <c r="B22" t="s">
        <v>9</v>
      </c>
      <c r="D22">
        <v>0</v>
      </c>
    </row>
    <row r="23" spans="2:4" x14ac:dyDescent="0.25">
      <c r="B23" t="s">
        <v>6</v>
      </c>
      <c r="D23" s="1">
        <v>-10000</v>
      </c>
    </row>
    <row r="25" spans="2:4" x14ac:dyDescent="0.25">
      <c r="B25" t="s">
        <v>10</v>
      </c>
      <c r="D25" s="3">
        <f>FV(D20,D21,D22,D23)</f>
        <v>25937.424601000017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I42"/>
  <sheetViews>
    <sheetView workbookViewId="0">
      <selection activeCell="D24" sqref="D24"/>
    </sheetView>
  </sheetViews>
  <sheetFormatPr defaultRowHeight="15" x14ac:dyDescent="0.25"/>
  <cols>
    <col min="4" max="4" width="18.7109375" customWidth="1"/>
    <col min="5" max="9" width="14" customWidth="1"/>
    <col min="11" max="11" width="15.28515625" customWidth="1"/>
    <col min="12" max="12" width="11.28515625" bestFit="1" customWidth="1"/>
    <col min="14" max="14" width="16.140625" customWidth="1"/>
    <col min="15" max="15" width="11" customWidth="1"/>
    <col min="17" max="17" width="16.28515625" customWidth="1"/>
    <col min="18" max="18" width="11" customWidth="1"/>
  </cols>
  <sheetData>
    <row r="2" spans="2:9" x14ac:dyDescent="0.25">
      <c r="B2" s="69">
        <v>1</v>
      </c>
      <c r="D2" s="2" t="s">
        <v>102</v>
      </c>
      <c r="G2" s="6">
        <f>$E$5/4</f>
        <v>0.02</v>
      </c>
    </row>
    <row r="3" spans="2:9" x14ac:dyDescent="0.25">
      <c r="G3" s="6">
        <f t="shared" ref="G3:G5" si="0">$E$5/4</f>
        <v>0.02</v>
      </c>
    </row>
    <row r="4" spans="2:9" x14ac:dyDescent="0.25">
      <c r="D4" s="44" t="s">
        <v>98</v>
      </c>
      <c r="E4" s="28">
        <v>140000</v>
      </c>
      <c r="F4" s="68"/>
      <c r="G4" s="6">
        <f t="shared" si="0"/>
        <v>0.02</v>
      </c>
      <c r="H4" s="68"/>
      <c r="I4" s="68"/>
    </row>
    <row r="5" spans="2:9" x14ac:dyDescent="0.25">
      <c r="D5" s="44" t="s">
        <v>99</v>
      </c>
      <c r="E5" s="16">
        <v>0.08</v>
      </c>
      <c r="F5" s="38"/>
      <c r="G5" s="6">
        <f t="shared" si="0"/>
        <v>0.02</v>
      </c>
      <c r="H5" s="38"/>
      <c r="I5" s="38"/>
    </row>
    <row r="6" spans="2:9" x14ac:dyDescent="0.25">
      <c r="D6" s="44" t="s">
        <v>100</v>
      </c>
      <c r="E6" s="16">
        <v>7.0000000000000007E-2</v>
      </c>
      <c r="F6" s="38"/>
      <c r="G6" s="6">
        <f>$E$6/4</f>
        <v>1.7500000000000002E-2</v>
      </c>
      <c r="H6" s="38"/>
      <c r="I6" s="38"/>
    </row>
    <row r="7" spans="2:9" x14ac:dyDescent="0.25">
      <c r="D7" s="44" t="s">
        <v>101</v>
      </c>
      <c r="E7" s="18">
        <v>8.5000000000000006E-2</v>
      </c>
      <c r="F7" s="74"/>
      <c r="G7" s="6">
        <f t="shared" ref="G7:G9" si="1">$E$6/4</f>
        <v>1.7500000000000002E-2</v>
      </c>
      <c r="H7" s="74"/>
      <c r="I7" s="74"/>
    </row>
    <row r="8" spans="2:9" x14ac:dyDescent="0.25">
      <c r="G8" s="6">
        <f t="shared" si="1"/>
        <v>1.7500000000000002E-2</v>
      </c>
    </row>
    <row r="9" spans="2:9" x14ac:dyDescent="0.25">
      <c r="G9" s="6">
        <f t="shared" si="1"/>
        <v>1.7500000000000002E-2</v>
      </c>
    </row>
    <row r="10" spans="2:9" x14ac:dyDescent="0.25">
      <c r="D10" t="s">
        <v>103</v>
      </c>
      <c r="E10" s="14">
        <f>FVSCHEDULE(E4,E5:E7)</f>
        <v>175535.63999999998</v>
      </c>
      <c r="F10" s="14"/>
      <c r="G10" s="6">
        <f>$E$7/4</f>
        <v>2.1250000000000002E-2</v>
      </c>
      <c r="H10" s="14"/>
      <c r="I10" s="14"/>
    </row>
    <row r="11" spans="2:9" x14ac:dyDescent="0.25">
      <c r="D11" t="s">
        <v>105</v>
      </c>
      <c r="E11" s="14">
        <f>FVSCHEDULE(E4,G2:G13)</f>
        <v>176682.96244886471</v>
      </c>
      <c r="F11" s="14"/>
      <c r="G11" s="6">
        <f t="shared" ref="G11:G13" si="2">$E$7/4</f>
        <v>2.1250000000000002E-2</v>
      </c>
      <c r="H11" s="14"/>
      <c r="I11" s="14"/>
    </row>
    <row r="12" spans="2:9" x14ac:dyDescent="0.25">
      <c r="E12" s="7"/>
      <c r="F12" s="7"/>
      <c r="G12" s="6">
        <f t="shared" si="2"/>
        <v>2.1250000000000002E-2</v>
      </c>
      <c r="H12" s="7"/>
      <c r="I12" s="7"/>
    </row>
    <row r="13" spans="2:9" x14ac:dyDescent="0.25">
      <c r="G13" s="6">
        <f t="shared" si="2"/>
        <v>2.1250000000000002E-2</v>
      </c>
    </row>
    <row r="14" spans="2:9" x14ac:dyDescent="0.25">
      <c r="B14" s="69">
        <v>2</v>
      </c>
      <c r="D14" s="2" t="s">
        <v>106</v>
      </c>
    </row>
    <row r="16" spans="2:9" x14ac:dyDescent="0.25">
      <c r="D16" s="64" t="s">
        <v>98</v>
      </c>
      <c r="E16" s="63">
        <v>140000</v>
      </c>
    </row>
    <row r="17" spans="2:5" x14ac:dyDescent="0.25">
      <c r="D17" s="44" t="s">
        <v>107</v>
      </c>
      <c r="E17" s="16">
        <v>0.11</v>
      </c>
    </row>
    <row r="18" spans="2:5" x14ac:dyDescent="0.25">
      <c r="D18" s="44" t="s">
        <v>108</v>
      </c>
      <c r="E18" s="8">
        <v>36</v>
      </c>
    </row>
    <row r="19" spans="2:5" x14ac:dyDescent="0.25">
      <c r="D19" s="44" t="s">
        <v>109</v>
      </c>
      <c r="E19" s="8">
        <v>12</v>
      </c>
    </row>
    <row r="21" spans="2:5" x14ac:dyDescent="0.25">
      <c r="D21" t="s">
        <v>110</v>
      </c>
      <c r="E21" s="14">
        <f>ISPMT(E17/12,E19,E18,E16)</f>
        <v>-855.55555555555554</v>
      </c>
    </row>
    <row r="22" spans="2:5" x14ac:dyDescent="0.25">
      <c r="D22" t="s">
        <v>111</v>
      </c>
      <c r="E22" s="3">
        <f>IPMT(E17/12,E19,E18,E16,0)</f>
        <v>-934.89590687512396</v>
      </c>
    </row>
    <row r="25" spans="2:5" x14ac:dyDescent="0.25">
      <c r="B25" s="69">
        <v>3</v>
      </c>
      <c r="D25" s="2" t="s">
        <v>112</v>
      </c>
    </row>
    <row r="27" spans="2:5" x14ac:dyDescent="0.25">
      <c r="D27" s="44" t="s">
        <v>98</v>
      </c>
      <c r="E27" s="28">
        <v>140000</v>
      </c>
    </row>
    <row r="28" spans="2:5" x14ac:dyDescent="0.25">
      <c r="D28" s="44" t="s">
        <v>107</v>
      </c>
      <c r="E28" s="16">
        <v>0.11</v>
      </c>
    </row>
    <row r="29" spans="2:5" x14ac:dyDescent="0.25">
      <c r="D29" s="44" t="s">
        <v>113</v>
      </c>
      <c r="E29" s="28">
        <v>180000</v>
      </c>
    </row>
    <row r="31" spans="2:5" x14ac:dyDescent="0.25">
      <c r="D31" t="s">
        <v>114</v>
      </c>
      <c r="E31" s="39">
        <f>_xlfn.PDURATION(E28,E27,E29)</f>
        <v>2.4081486333638566</v>
      </c>
    </row>
    <row r="32" spans="2:5" x14ac:dyDescent="0.25">
      <c r="D32" t="s">
        <v>115</v>
      </c>
      <c r="E32" s="39">
        <f>_xlfn.PDURATION(E28/12,E27,E29)</f>
        <v>27.541585561483096</v>
      </c>
    </row>
    <row r="35" spans="2:5" x14ac:dyDescent="0.25">
      <c r="B35" s="69">
        <v>4</v>
      </c>
      <c r="D35" s="2" t="s">
        <v>116</v>
      </c>
    </row>
    <row r="37" spans="2:5" x14ac:dyDescent="0.25">
      <c r="D37" s="44" t="s">
        <v>98</v>
      </c>
      <c r="E37" s="28">
        <v>140000</v>
      </c>
    </row>
    <row r="38" spans="2:5" x14ac:dyDescent="0.25">
      <c r="D38" s="44" t="s">
        <v>113</v>
      </c>
      <c r="E38" s="28">
        <v>180000</v>
      </c>
    </row>
    <row r="39" spans="2:5" x14ac:dyDescent="0.25">
      <c r="D39" s="44" t="s">
        <v>50</v>
      </c>
      <c r="E39" s="8">
        <v>3</v>
      </c>
    </row>
    <row r="41" spans="2:5" x14ac:dyDescent="0.25">
      <c r="D41" t="s">
        <v>103</v>
      </c>
      <c r="E41" s="7">
        <f>_xlfn.RRI(E39,E37,E38)</f>
        <v>8.7380373002892142E-2</v>
      </c>
    </row>
    <row r="42" spans="2:5" x14ac:dyDescent="0.25">
      <c r="D42" t="s">
        <v>104</v>
      </c>
      <c r="E42" s="7">
        <f>_xlfn.RRI(E39*12,E37,E38)*12</f>
        <v>8.4064560207789185E-2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3"/>
  <sheetViews>
    <sheetView workbookViewId="0">
      <selection activeCell="C13" sqref="C13"/>
    </sheetView>
  </sheetViews>
  <sheetFormatPr defaultRowHeight="15" x14ac:dyDescent="0.25"/>
  <cols>
    <col min="2" max="2" width="14.85546875" bestFit="1" customWidth="1"/>
    <col min="3" max="5" width="13.28515625" bestFit="1" customWidth="1"/>
  </cols>
  <sheetData>
    <row r="2" spans="2:5" x14ac:dyDescent="0.25">
      <c r="B2" s="2" t="s">
        <v>18</v>
      </c>
    </row>
    <row r="4" spans="2:5" x14ac:dyDescent="0.25">
      <c r="B4" s="8" t="s">
        <v>1</v>
      </c>
      <c r="C4" s="28">
        <v>400000</v>
      </c>
    </row>
    <row r="6" spans="2:5" x14ac:dyDescent="0.25">
      <c r="B6" s="33" t="s">
        <v>15</v>
      </c>
      <c r="C6" s="19" t="s">
        <v>12</v>
      </c>
      <c r="D6" s="19" t="s">
        <v>13</v>
      </c>
      <c r="E6" s="19" t="s">
        <v>14</v>
      </c>
    </row>
    <row r="7" spans="2:5" x14ac:dyDescent="0.25">
      <c r="B7" s="9" t="s">
        <v>28</v>
      </c>
      <c r="C7" s="34">
        <v>0.125</v>
      </c>
      <c r="D7" s="35">
        <v>0.12</v>
      </c>
      <c r="E7" s="66">
        <v>0.14499999999999999</v>
      </c>
    </row>
    <row r="8" spans="2:5" x14ac:dyDescent="0.25">
      <c r="B8" s="9" t="s">
        <v>49</v>
      </c>
      <c r="C8" s="34" t="s">
        <v>51</v>
      </c>
      <c r="D8" s="35" t="s">
        <v>52</v>
      </c>
      <c r="E8" s="34" t="s">
        <v>51</v>
      </c>
    </row>
    <row r="9" spans="2:5" x14ac:dyDescent="0.25">
      <c r="B9" s="13" t="s">
        <v>50</v>
      </c>
      <c r="C9" s="23">
        <v>5</v>
      </c>
      <c r="D9" s="23">
        <v>6</v>
      </c>
      <c r="E9" s="23">
        <v>4.5</v>
      </c>
    </row>
    <row r="12" spans="2:5" x14ac:dyDescent="0.25">
      <c r="B12" t="s">
        <v>16</v>
      </c>
      <c r="C12" s="3">
        <f>PMT(C7/12,C9*12,$C$4)</f>
        <v>-8999.1752901663349</v>
      </c>
      <c r="D12" s="3">
        <f>PMT(D7/12,D9*12,$C$4,,1)</f>
        <v>-7742.6504961184328</v>
      </c>
      <c r="E12" s="3">
        <f>PMT(E7/12,E9*12,$C$4)</f>
        <v>-10128.161507410407</v>
      </c>
    </row>
    <row r="13" spans="2:5" x14ac:dyDescent="0.25">
      <c r="B13" t="s">
        <v>17</v>
      </c>
      <c r="C13" s="3">
        <f>C12*C9*12</f>
        <v>-539950.51740998006</v>
      </c>
      <c r="D13" s="3">
        <f>D12*D9*12</f>
        <v>-557470.83572052722</v>
      </c>
      <c r="E13" s="3"/>
    </row>
  </sheetData>
  <pageMargins left="0.7" right="0.7" top="0.78740157499999996" bottom="0.78740157499999996" header="0.3" footer="0.3"/>
  <pageSetup paperSize="9" orientation="portrait" r:id="rId1"/>
  <ignoredErrors>
    <ignoredError sqref="D1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39"/>
  <sheetViews>
    <sheetView topLeftCell="A28" workbookViewId="0">
      <selection activeCell="I10" sqref="I10"/>
    </sheetView>
  </sheetViews>
  <sheetFormatPr defaultRowHeight="15" x14ac:dyDescent="0.25"/>
  <cols>
    <col min="4" max="4" width="20.85546875" bestFit="1" customWidth="1"/>
    <col min="5" max="5" width="14" bestFit="1" customWidth="1"/>
    <col min="7" max="7" width="17" bestFit="1" customWidth="1"/>
    <col min="8" max="8" width="14" bestFit="1" customWidth="1"/>
    <col min="10" max="10" width="18.85546875" customWidth="1"/>
    <col min="11" max="11" width="14" customWidth="1"/>
    <col min="13" max="13" width="21.85546875" bestFit="1" customWidth="1"/>
    <col min="14" max="14" width="12.42578125" bestFit="1" customWidth="1"/>
  </cols>
  <sheetData>
    <row r="2" spans="2:9" x14ac:dyDescent="0.25">
      <c r="B2" s="69">
        <v>1</v>
      </c>
      <c r="D2" s="2" t="s">
        <v>24</v>
      </c>
    </row>
    <row r="4" spans="2:9" x14ac:dyDescent="0.25">
      <c r="D4" s="8" t="s">
        <v>20</v>
      </c>
      <c r="E4" s="8">
        <v>36</v>
      </c>
      <c r="I4" s="36"/>
    </row>
    <row r="5" spans="2:9" x14ac:dyDescent="0.25">
      <c r="D5" s="8" t="s">
        <v>21</v>
      </c>
      <c r="E5" s="15">
        <v>150000</v>
      </c>
      <c r="I5" s="37"/>
    </row>
    <row r="6" spans="2:9" x14ac:dyDescent="0.25">
      <c r="D6" s="8" t="s">
        <v>22</v>
      </c>
      <c r="E6" s="16">
        <v>0.05</v>
      </c>
      <c r="I6" s="38"/>
    </row>
    <row r="8" spans="2:9" x14ac:dyDescent="0.25">
      <c r="D8" t="s">
        <v>19</v>
      </c>
      <c r="E8" s="3">
        <f>PMT(E6/12,E4,-E5,,1)</f>
        <v>4476.9804803649677</v>
      </c>
      <c r="I8" s="14"/>
    </row>
    <row r="9" spans="2:9" x14ac:dyDescent="0.25">
      <c r="D9" t="s">
        <v>23</v>
      </c>
      <c r="E9" s="14">
        <f>E5/E4</f>
        <v>4166.666666666667</v>
      </c>
      <c r="I9" s="14"/>
    </row>
    <row r="12" spans="2:9" x14ac:dyDescent="0.25">
      <c r="B12" s="69">
        <v>2</v>
      </c>
      <c r="D12" s="2" t="s">
        <v>25</v>
      </c>
    </row>
    <row r="14" spans="2:9" x14ac:dyDescent="0.25">
      <c r="D14" s="8" t="s">
        <v>27</v>
      </c>
      <c r="E14" s="8">
        <v>5</v>
      </c>
    </row>
    <row r="15" spans="2:9" x14ac:dyDescent="0.25">
      <c r="D15" s="8" t="s">
        <v>26</v>
      </c>
      <c r="E15" s="15">
        <v>10000</v>
      </c>
    </row>
    <row r="16" spans="2:9" x14ac:dyDescent="0.25">
      <c r="D16" s="8" t="s">
        <v>28</v>
      </c>
      <c r="E16" s="16">
        <v>0.04</v>
      </c>
    </row>
    <row r="18" spans="2:5" x14ac:dyDescent="0.25">
      <c r="D18" t="s">
        <v>29</v>
      </c>
      <c r="E18" s="14">
        <f>PV(E16/12,E14*12,E15)</f>
        <v>-542990.68901235156</v>
      </c>
    </row>
    <row r="19" spans="2:5" x14ac:dyDescent="0.25">
      <c r="D19" t="s">
        <v>30</v>
      </c>
      <c r="E19" s="14">
        <f>+E15*E14*12</f>
        <v>600000</v>
      </c>
    </row>
    <row r="22" spans="2:5" x14ac:dyDescent="0.25">
      <c r="B22" s="69">
        <v>3</v>
      </c>
      <c r="D22" s="2" t="s">
        <v>54</v>
      </c>
    </row>
    <row r="24" spans="2:5" x14ac:dyDescent="0.25">
      <c r="D24" s="8" t="s">
        <v>53</v>
      </c>
      <c r="E24" s="15">
        <v>500000</v>
      </c>
    </row>
    <row r="25" spans="2:5" x14ac:dyDescent="0.25">
      <c r="D25" s="8" t="s">
        <v>26</v>
      </c>
      <c r="E25" s="15">
        <v>10000</v>
      </c>
    </row>
    <row r="26" spans="2:5" x14ac:dyDescent="0.25">
      <c r="D26" s="8" t="s">
        <v>28</v>
      </c>
      <c r="E26" s="16">
        <v>0.04</v>
      </c>
    </row>
    <row r="28" spans="2:5" x14ac:dyDescent="0.25">
      <c r="D28" t="s">
        <v>55</v>
      </c>
      <c r="E28" s="39">
        <f>NPER(E26/12,E25,-E24,,1)</f>
        <v>54.58797597149006</v>
      </c>
    </row>
    <row r="29" spans="2:5" x14ac:dyDescent="0.25">
      <c r="D29" t="s">
        <v>30</v>
      </c>
      <c r="E29" s="39">
        <f>E24/E25</f>
        <v>50</v>
      </c>
    </row>
    <row r="32" spans="2:5" x14ac:dyDescent="0.25">
      <c r="B32" s="69">
        <v>4</v>
      </c>
      <c r="D32" s="2" t="s">
        <v>31</v>
      </c>
    </row>
    <row r="34" spans="4:5" x14ac:dyDescent="0.25">
      <c r="D34" s="8" t="s">
        <v>32</v>
      </c>
      <c r="E34" s="8">
        <v>6</v>
      </c>
    </row>
    <row r="35" spans="4:5" x14ac:dyDescent="0.25">
      <c r="D35" s="8" t="s">
        <v>33</v>
      </c>
      <c r="E35" s="15">
        <v>1500</v>
      </c>
    </row>
    <row r="36" spans="4:5" x14ac:dyDescent="0.25">
      <c r="D36" s="8" t="s">
        <v>28</v>
      </c>
      <c r="E36" s="16">
        <v>0.03</v>
      </c>
    </row>
    <row r="38" spans="4:5" x14ac:dyDescent="0.25">
      <c r="D38" t="s">
        <v>34</v>
      </c>
      <c r="E38" s="14">
        <f>FV(E36/12,E34*12,-E35)</f>
        <v>118169.08051983743</v>
      </c>
    </row>
    <row r="39" spans="4:5" x14ac:dyDescent="0.25">
      <c r="D39" t="s">
        <v>30</v>
      </c>
      <c r="E39" s="14">
        <f>E35*E34*12</f>
        <v>108000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7"/>
  <sheetViews>
    <sheetView workbookViewId="0">
      <selection activeCell="M13" sqref="M13"/>
    </sheetView>
  </sheetViews>
  <sheetFormatPr defaultRowHeight="15" x14ac:dyDescent="0.25"/>
  <cols>
    <col min="2" max="2" width="19.5703125" customWidth="1"/>
    <col min="3" max="3" width="13.28515625" bestFit="1" customWidth="1"/>
    <col min="4" max="4" width="12.140625" bestFit="1" customWidth="1"/>
    <col min="5" max="5" width="13.28515625" bestFit="1" customWidth="1"/>
    <col min="6" max="6" width="20.28515625" customWidth="1"/>
    <col min="7" max="7" width="18.140625" customWidth="1"/>
    <col min="8" max="8" width="13.5703125" customWidth="1"/>
  </cols>
  <sheetData>
    <row r="2" spans="2:8" x14ac:dyDescent="0.25">
      <c r="B2" s="2" t="s">
        <v>36</v>
      </c>
    </row>
    <row r="4" spans="2:8" x14ac:dyDescent="0.25">
      <c r="B4" s="8" t="s">
        <v>35</v>
      </c>
      <c r="C4" s="15">
        <v>480000</v>
      </c>
    </row>
    <row r="5" spans="2:8" x14ac:dyDescent="0.25">
      <c r="B5" s="8" t="s">
        <v>57</v>
      </c>
      <c r="C5" s="17">
        <v>9.6000000000000002E-2</v>
      </c>
    </row>
    <row r="6" spans="2:8" x14ac:dyDescent="0.25">
      <c r="B6" s="8" t="s">
        <v>56</v>
      </c>
      <c r="C6" s="8">
        <v>3</v>
      </c>
    </row>
    <row r="8" spans="2:8" x14ac:dyDescent="0.25">
      <c r="B8" s="8" t="s">
        <v>43</v>
      </c>
      <c r="C8" s="8"/>
      <c r="D8" s="27">
        <f>PMT(C5/12,C6*12,C4,,1)</f>
        <v>-15276.055071176894</v>
      </c>
    </row>
    <row r="10" spans="2:8" x14ac:dyDescent="0.25">
      <c r="B10" s="19" t="s">
        <v>38</v>
      </c>
      <c r="C10" s="19" t="s">
        <v>39</v>
      </c>
      <c r="D10" s="19" t="s">
        <v>28</v>
      </c>
      <c r="E10" s="19" t="s">
        <v>9</v>
      </c>
      <c r="F10" s="19" t="s">
        <v>41</v>
      </c>
      <c r="G10" s="19" t="s">
        <v>42</v>
      </c>
      <c r="H10" s="19" t="s">
        <v>40</v>
      </c>
    </row>
    <row r="11" spans="2:8" x14ac:dyDescent="0.25">
      <c r="B11" s="22">
        <v>1</v>
      </c>
      <c r="C11" s="20">
        <f>PPMT($C$5/12,B11,$C$6*12,$C$4,,1)</f>
        <v>-15276.055071176894</v>
      </c>
      <c r="D11" s="20">
        <f>IPMT($C$5/12,B11,$C$6*12,$C$4,,1)</f>
        <v>0</v>
      </c>
      <c r="E11" s="20">
        <f>C11+D11</f>
        <v>-15276.055071176894</v>
      </c>
      <c r="F11" s="20">
        <f>CUMPRINC($C$5/12,$C$6*12,$C$4,1,B11,1)</f>
        <v>-15276.055071176894</v>
      </c>
      <c r="G11" s="20">
        <f>CUMIPMT($C$5/12,$C$6*12,$C$4,1,B11,1)</f>
        <v>0</v>
      </c>
      <c r="H11" s="20">
        <f>F11+G11</f>
        <v>-15276.055071176894</v>
      </c>
    </row>
    <row r="12" spans="2:8" x14ac:dyDescent="0.25">
      <c r="B12" s="22">
        <v>2</v>
      </c>
      <c r="C12" s="20">
        <f t="shared" ref="C12:C46" si="0">PPMT($C$5/12,B12,$C$6*12,$C$4,,1)</f>
        <v>-11558.263511746311</v>
      </c>
      <c r="D12" s="20">
        <f t="shared" ref="D12:D46" si="1">IPMT($C$5/12,B12,$C$6*12,$C$4,,1)</f>
        <v>-3717.7915594305832</v>
      </c>
      <c r="E12" s="20">
        <f t="shared" ref="E12:E46" si="2">C12+D12</f>
        <v>-15276.055071176894</v>
      </c>
      <c r="F12" s="20">
        <f t="shared" ref="F12:F14" si="3">CUMPRINC($C$5/12,$C$6*12,$C$4,1,B12,1)</f>
        <v>-26834.318582923202</v>
      </c>
      <c r="G12" s="20">
        <f t="shared" ref="G12:G14" si="4">CUMIPMT($C$5/12,$C$6*12,$C$4,1,B12,1)</f>
        <v>-3717.7915594305832</v>
      </c>
      <c r="H12" s="20">
        <f t="shared" ref="H12:H46" si="5">F12+G12</f>
        <v>-30552.110142353784</v>
      </c>
    </row>
    <row r="13" spans="2:8" x14ac:dyDescent="0.25">
      <c r="B13" s="22">
        <v>3</v>
      </c>
      <c r="C13" s="20">
        <f t="shared" si="0"/>
        <v>-11650.72961984028</v>
      </c>
      <c r="D13" s="20">
        <f t="shared" si="1"/>
        <v>-3625.3254513366132</v>
      </c>
      <c r="E13" s="20">
        <f t="shared" si="2"/>
        <v>-15276.055071176894</v>
      </c>
      <c r="F13" s="20">
        <f t="shared" si="3"/>
        <v>-38485.048202763479</v>
      </c>
      <c r="G13" s="20">
        <f t="shared" si="4"/>
        <v>-7343.1170107672006</v>
      </c>
      <c r="H13" s="20">
        <f t="shared" si="5"/>
        <v>-45828.165213530679</v>
      </c>
    </row>
    <row r="14" spans="2:8" x14ac:dyDescent="0.25">
      <c r="B14" s="22">
        <v>4</v>
      </c>
      <c r="C14" s="20">
        <f t="shared" si="0"/>
        <v>-11743.935456799003</v>
      </c>
      <c r="D14" s="20">
        <f t="shared" si="1"/>
        <v>-3532.1196143778911</v>
      </c>
      <c r="E14" s="20">
        <f t="shared" si="2"/>
        <v>-15276.055071176894</v>
      </c>
      <c r="F14" s="20">
        <f t="shared" si="3"/>
        <v>-50228.983659562487</v>
      </c>
      <c r="G14" s="20">
        <f t="shared" si="4"/>
        <v>-10875.236625145088</v>
      </c>
      <c r="H14" s="20">
        <f t="shared" si="5"/>
        <v>-61104.220284707575</v>
      </c>
    </row>
    <row r="15" spans="2:8" x14ac:dyDescent="0.25">
      <c r="B15" s="22">
        <v>5</v>
      </c>
      <c r="C15" s="20">
        <f t="shared" si="0"/>
        <v>-11837.886940453394</v>
      </c>
      <c r="D15" s="20">
        <f t="shared" si="1"/>
        <v>-3438.1681307234999</v>
      </c>
      <c r="E15" s="20">
        <f t="shared" si="2"/>
        <v>-15276.055071176894</v>
      </c>
      <c r="F15" s="20">
        <f t="shared" ref="F15:F46" si="6">CUMPRINC($C$5/12,$C$6*12,$C$4,1,B15,1)</f>
        <v>-62066.870600015878</v>
      </c>
      <c r="G15" s="20">
        <f t="shared" ref="G15:G46" si="7">CUMIPMT($C$5/12,$C$6*12,$C$4,1,B15,1)</f>
        <v>-14313.404755868592</v>
      </c>
      <c r="H15" s="20">
        <f t="shared" si="5"/>
        <v>-76380.275355884471</v>
      </c>
    </row>
    <row r="16" spans="2:8" x14ac:dyDescent="0.25">
      <c r="B16" s="22">
        <v>6</v>
      </c>
      <c r="C16" s="20">
        <f t="shared" si="0"/>
        <v>-11932.590035977022</v>
      </c>
      <c r="D16" s="20">
        <f t="shared" si="1"/>
        <v>-3343.4650351998721</v>
      </c>
      <c r="E16" s="20">
        <f t="shared" si="2"/>
        <v>-15276.055071176894</v>
      </c>
      <c r="F16" s="20">
        <f t="shared" si="6"/>
        <v>-73999.460635992902</v>
      </c>
      <c r="G16" s="20">
        <f t="shared" si="7"/>
        <v>-17656.869791068457</v>
      </c>
      <c r="H16" s="20">
        <f t="shared" si="5"/>
        <v>-91656.330427061359</v>
      </c>
    </row>
    <row r="17" spans="2:8" x14ac:dyDescent="0.25">
      <c r="B17" s="22">
        <v>7</v>
      </c>
      <c r="C17" s="20">
        <f t="shared" si="0"/>
        <v>-12028.050756264838</v>
      </c>
      <c r="D17" s="20">
        <f t="shared" si="1"/>
        <v>-3248.0043149120561</v>
      </c>
      <c r="E17" s="20">
        <f t="shared" si="2"/>
        <v>-15276.055071176894</v>
      </c>
      <c r="F17" s="20">
        <f t="shared" si="6"/>
        <v>-86027.511392257715</v>
      </c>
      <c r="G17" s="20">
        <f t="shared" si="7"/>
        <v>-20904.874105980532</v>
      </c>
      <c r="H17" s="20">
        <f t="shared" si="5"/>
        <v>-106932.38549823825</v>
      </c>
    </row>
    <row r="18" spans="2:8" x14ac:dyDescent="0.25">
      <c r="B18" s="22">
        <v>8</v>
      </c>
      <c r="C18" s="20">
        <f t="shared" si="0"/>
        <v>-12124.275162314956</v>
      </c>
      <c r="D18" s="20">
        <f t="shared" si="1"/>
        <v>-3151.7799088619377</v>
      </c>
      <c r="E18" s="20">
        <f t="shared" si="2"/>
        <v>-15276.055071176894</v>
      </c>
      <c r="F18" s="20">
        <f t="shared" si="6"/>
        <v>-98151.786554572696</v>
      </c>
      <c r="G18" s="20">
        <f t="shared" si="7"/>
        <v>-24056.654014842454</v>
      </c>
      <c r="H18" s="20">
        <f t="shared" si="5"/>
        <v>-122208.44056941515</v>
      </c>
    </row>
    <row r="19" spans="2:8" x14ac:dyDescent="0.25">
      <c r="B19" s="22">
        <v>9</v>
      </c>
      <c r="C19" s="20">
        <f t="shared" si="0"/>
        <v>-12221.269363613477</v>
      </c>
      <c r="D19" s="20">
        <f t="shared" si="1"/>
        <v>-3054.785707563417</v>
      </c>
      <c r="E19" s="20">
        <f t="shared" si="2"/>
        <v>-15276.055071176894</v>
      </c>
      <c r="F19" s="20">
        <f t="shared" si="6"/>
        <v>-110373.05591818616</v>
      </c>
      <c r="G19" s="20">
        <f t="shared" si="7"/>
        <v>-27111.439722405878</v>
      </c>
      <c r="H19" s="20">
        <f t="shared" si="5"/>
        <v>-137484.49564059204</v>
      </c>
    </row>
    <row r="20" spans="2:8" x14ac:dyDescent="0.25">
      <c r="B20" s="22">
        <v>10</v>
      </c>
      <c r="C20" s="20">
        <f t="shared" si="0"/>
        <v>-12319.039518522384</v>
      </c>
      <c r="D20" s="20">
        <f t="shared" si="1"/>
        <v>-2957.01555265451</v>
      </c>
      <c r="E20" s="20">
        <f t="shared" si="2"/>
        <v>-15276.055071176894</v>
      </c>
      <c r="F20" s="20">
        <f t="shared" si="6"/>
        <v>-122692.09543670855</v>
      </c>
      <c r="G20" s="20">
        <f t="shared" si="7"/>
        <v>-30068.455275060376</v>
      </c>
      <c r="H20" s="20">
        <f t="shared" si="5"/>
        <v>-152760.55071176891</v>
      </c>
    </row>
    <row r="21" spans="2:8" x14ac:dyDescent="0.25">
      <c r="B21" s="22">
        <v>11</v>
      </c>
      <c r="C21" s="20">
        <f t="shared" si="0"/>
        <v>-12417.591834670562</v>
      </c>
      <c r="D21" s="20">
        <f t="shared" si="1"/>
        <v>-2858.4632365063312</v>
      </c>
      <c r="E21" s="20">
        <f t="shared" si="2"/>
        <v>-15276.055071176894</v>
      </c>
      <c r="F21" s="20">
        <f t="shared" si="6"/>
        <v>-135109.68727137911</v>
      </c>
      <c r="G21" s="20">
        <f t="shared" si="7"/>
        <v>-32926.918511566721</v>
      </c>
      <c r="H21" s="20">
        <f t="shared" si="5"/>
        <v>-168036.60578294582</v>
      </c>
    </row>
    <row r="22" spans="2:8" x14ac:dyDescent="0.25">
      <c r="B22" s="22">
        <v>12</v>
      </c>
      <c r="C22" s="20">
        <f t="shared" si="0"/>
        <v>-12516.932569347928</v>
      </c>
      <c r="D22" s="20">
        <f t="shared" si="1"/>
        <v>-2759.1225018289665</v>
      </c>
      <c r="E22" s="20">
        <f t="shared" si="2"/>
        <v>-15276.055071176894</v>
      </c>
      <c r="F22" s="20">
        <f t="shared" si="6"/>
        <v>-147626.61984072704</v>
      </c>
      <c r="G22" s="20">
        <f t="shared" si="7"/>
        <v>-35686.041013395705</v>
      </c>
      <c r="H22" s="20">
        <f t="shared" si="5"/>
        <v>-183312.66085412275</v>
      </c>
    </row>
    <row r="23" spans="2:8" x14ac:dyDescent="0.25">
      <c r="B23" s="22">
        <v>13</v>
      </c>
      <c r="C23" s="20">
        <f t="shared" si="0"/>
        <v>-12617.06802990271</v>
      </c>
      <c r="D23" s="20">
        <f t="shared" si="1"/>
        <v>-2658.987041274183</v>
      </c>
      <c r="E23" s="20">
        <f t="shared" si="2"/>
        <v>-15276.055071176892</v>
      </c>
      <c r="F23" s="20">
        <f t="shared" si="6"/>
        <v>-160243.68787062971</v>
      </c>
      <c r="G23" s="20">
        <f t="shared" si="7"/>
        <v>-38345.028054669907</v>
      </c>
      <c r="H23" s="20">
        <f t="shared" si="5"/>
        <v>-198588.71592529962</v>
      </c>
    </row>
    <row r="24" spans="2:8" x14ac:dyDescent="0.25">
      <c r="B24" s="22">
        <v>14</v>
      </c>
      <c r="C24" s="20">
        <f t="shared" si="0"/>
        <v>-12718.004574141933</v>
      </c>
      <c r="D24" s="20">
        <f t="shared" si="1"/>
        <v>-2558.0504970349607</v>
      </c>
      <c r="E24" s="20">
        <f t="shared" si="2"/>
        <v>-15276.055071176894</v>
      </c>
      <c r="F24" s="20">
        <f t="shared" si="6"/>
        <v>-172961.69244477167</v>
      </c>
      <c r="G24" s="20">
        <f t="shared" si="7"/>
        <v>-40903.07855170485</v>
      </c>
      <c r="H24" s="20">
        <f t="shared" si="5"/>
        <v>-213864.77099647652</v>
      </c>
    </row>
    <row r="25" spans="2:8" x14ac:dyDescent="0.25">
      <c r="B25" s="22">
        <v>15</v>
      </c>
      <c r="C25" s="20">
        <f t="shared" si="0"/>
        <v>-12819.748610735067</v>
      </c>
      <c r="D25" s="20">
        <f t="shared" si="1"/>
        <v>-2456.3064604418255</v>
      </c>
      <c r="E25" s="20">
        <f t="shared" si="2"/>
        <v>-15276.055071176892</v>
      </c>
      <c r="F25" s="20">
        <f t="shared" si="6"/>
        <v>-185781.4410555067</v>
      </c>
      <c r="G25" s="20">
        <f t="shared" si="7"/>
        <v>-43359.385012146726</v>
      </c>
      <c r="H25" s="20">
        <f t="shared" si="5"/>
        <v>-229140.82606765343</v>
      </c>
    </row>
    <row r="26" spans="2:8" x14ac:dyDescent="0.25">
      <c r="B26" s="22">
        <v>16</v>
      </c>
      <c r="C26" s="20">
        <f t="shared" si="0"/>
        <v>-12922.306599620946</v>
      </c>
      <c r="D26" s="20">
        <f t="shared" si="1"/>
        <v>-2353.7484715559449</v>
      </c>
      <c r="E26" s="20">
        <f t="shared" si="2"/>
        <v>-15276.055071176892</v>
      </c>
      <c r="F26" s="20">
        <f t="shared" si="6"/>
        <v>-198703.74765512769</v>
      </c>
      <c r="G26" s="20">
        <f t="shared" si="7"/>
        <v>-45713.133483702608</v>
      </c>
      <c r="H26" s="20">
        <f t="shared" si="5"/>
        <v>-244416.8811388303</v>
      </c>
    </row>
    <row r="27" spans="2:8" x14ac:dyDescent="0.25">
      <c r="B27" s="22">
        <v>17</v>
      </c>
      <c r="C27" s="20">
        <f t="shared" si="0"/>
        <v>-13025.685052417917</v>
      </c>
      <c r="D27" s="20">
        <f t="shared" si="1"/>
        <v>-2250.3700187589779</v>
      </c>
      <c r="E27" s="20">
        <f t="shared" si="2"/>
        <v>-15276.055071176896</v>
      </c>
      <c r="F27" s="20">
        <f t="shared" si="6"/>
        <v>-211729.43270754564</v>
      </c>
      <c r="G27" s="20">
        <f t="shared" si="7"/>
        <v>-47963.503502461564</v>
      </c>
      <c r="H27" s="20">
        <f t="shared" si="5"/>
        <v>-259692.9362100072</v>
      </c>
    </row>
    <row r="28" spans="2:8" x14ac:dyDescent="0.25">
      <c r="B28" s="22">
        <v>18</v>
      </c>
      <c r="C28" s="20">
        <f t="shared" si="0"/>
        <v>-13129.89053283726</v>
      </c>
      <c r="D28" s="20">
        <f t="shared" si="1"/>
        <v>-2146.1645383396344</v>
      </c>
      <c r="E28" s="20">
        <f t="shared" si="2"/>
        <v>-15276.055071176896</v>
      </c>
      <c r="F28" s="20">
        <f t="shared" si="6"/>
        <v>-224859.32324038289</v>
      </c>
      <c r="G28" s="20">
        <f t="shared" si="7"/>
        <v>-50109.668040801218</v>
      </c>
      <c r="H28" s="20">
        <f t="shared" si="5"/>
        <v>-274968.99128118414</v>
      </c>
    </row>
    <row r="29" spans="2:8" x14ac:dyDescent="0.25">
      <c r="B29" s="22">
        <v>19</v>
      </c>
      <c r="C29" s="20">
        <f t="shared" si="0"/>
        <v>-13234.929657099956</v>
      </c>
      <c r="D29" s="20">
        <f t="shared" si="1"/>
        <v>-2041.1254140769365</v>
      </c>
      <c r="E29" s="20">
        <f t="shared" si="2"/>
        <v>-15276.055071176892</v>
      </c>
      <c r="F29" s="20">
        <f t="shared" si="6"/>
        <v>-238094.25289748286</v>
      </c>
      <c r="G29" s="20">
        <f t="shared" si="7"/>
        <v>-52150.79345487812</v>
      </c>
      <c r="H29" s="20">
        <f t="shared" si="5"/>
        <v>-290245.04635236098</v>
      </c>
    </row>
    <row r="30" spans="2:8" x14ac:dyDescent="0.25">
      <c r="B30" s="22">
        <v>20</v>
      </c>
      <c r="C30" s="20">
        <f t="shared" si="0"/>
        <v>-13340.809094356757</v>
      </c>
      <c r="D30" s="20">
        <f t="shared" si="1"/>
        <v>-1935.245976820137</v>
      </c>
      <c r="E30" s="20">
        <f t="shared" si="2"/>
        <v>-15276.055071176894</v>
      </c>
      <c r="F30" s="20">
        <f t="shared" si="6"/>
        <v>-251435.06199183961</v>
      </c>
      <c r="G30" s="20">
        <f t="shared" si="7"/>
        <v>-54086.039431698271</v>
      </c>
      <c r="H30" s="20">
        <f t="shared" si="5"/>
        <v>-305521.10142353788</v>
      </c>
    </row>
    <row r="31" spans="2:8" x14ac:dyDescent="0.25">
      <c r="B31" s="22">
        <v>21</v>
      </c>
      <c r="C31" s="20">
        <f t="shared" si="0"/>
        <v>-13447.53556711161</v>
      </c>
      <c r="D31" s="20">
        <f t="shared" si="1"/>
        <v>-1828.5195040652829</v>
      </c>
      <c r="E31" s="20">
        <f t="shared" si="2"/>
        <v>-15276.055071176894</v>
      </c>
      <c r="F31" s="20">
        <f t="shared" si="6"/>
        <v>-264882.59755895118</v>
      </c>
      <c r="G31" s="20">
        <f t="shared" si="7"/>
        <v>-55914.558935763605</v>
      </c>
      <c r="H31" s="20">
        <f t="shared" si="5"/>
        <v>-320797.15649471479</v>
      </c>
    </row>
    <row r="32" spans="2:8" x14ac:dyDescent="0.25">
      <c r="B32" s="22">
        <v>22</v>
      </c>
      <c r="C32" s="20">
        <f t="shared" si="0"/>
        <v>-13555.115851648505</v>
      </c>
      <c r="D32" s="20">
        <f t="shared" si="1"/>
        <v>-1720.9392195283899</v>
      </c>
      <c r="E32" s="20">
        <f t="shared" si="2"/>
        <v>-15276.055071176896</v>
      </c>
      <c r="F32" s="20">
        <f t="shared" si="6"/>
        <v>-278437.71341059968</v>
      </c>
      <c r="G32" s="20">
        <f t="shared" si="7"/>
        <v>-57635.498155292007</v>
      </c>
      <c r="H32" s="20">
        <f t="shared" si="5"/>
        <v>-336073.21156589169</v>
      </c>
    </row>
    <row r="33" spans="2:8" x14ac:dyDescent="0.25">
      <c r="B33" s="22">
        <v>23</v>
      </c>
      <c r="C33" s="20">
        <f t="shared" si="0"/>
        <v>-13663.556778461692</v>
      </c>
      <c r="D33" s="20">
        <f t="shared" si="1"/>
        <v>-1612.4982927152016</v>
      </c>
      <c r="E33" s="20">
        <f t="shared" si="2"/>
        <v>-15276.055071176894</v>
      </c>
      <c r="F33" s="20">
        <f t="shared" si="6"/>
        <v>-292101.27018906141</v>
      </c>
      <c r="G33" s="20">
        <f t="shared" si="7"/>
        <v>-59247.996448007179</v>
      </c>
      <c r="H33" s="20">
        <f t="shared" si="5"/>
        <v>-351349.26663706859</v>
      </c>
    </row>
    <row r="34" spans="2:8" x14ac:dyDescent="0.25">
      <c r="B34" s="22">
        <v>24</v>
      </c>
      <c r="C34" s="20">
        <f t="shared" si="0"/>
        <v>-13772.865232689384</v>
      </c>
      <c r="D34" s="20">
        <f t="shared" si="1"/>
        <v>-1503.1898384875083</v>
      </c>
      <c r="E34" s="20">
        <f t="shared" si="2"/>
        <v>-15276.055071176892</v>
      </c>
      <c r="F34" s="20">
        <f t="shared" si="6"/>
        <v>-305874.13542175072</v>
      </c>
      <c r="G34" s="20">
        <f t="shared" si="7"/>
        <v>-60751.186286494718</v>
      </c>
      <c r="H34" s="20">
        <f t="shared" si="5"/>
        <v>-366625.32170824544</v>
      </c>
    </row>
    <row r="35" spans="2:8" x14ac:dyDescent="0.25">
      <c r="B35" s="22">
        <v>25</v>
      </c>
      <c r="C35" s="20">
        <f t="shared" si="0"/>
        <v>-13883.048154550899</v>
      </c>
      <c r="D35" s="20">
        <f t="shared" si="1"/>
        <v>-1393.006916625993</v>
      </c>
      <c r="E35" s="20">
        <f t="shared" si="2"/>
        <v>-15276.055071176892</v>
      </c>
      <c r="F35" s="20">
        <f t="shared" si="6"/>
        <v>-319757.18357630167</v>
      </c>
      <c r="G35" s="20">
        <f t="shared" si="7"/>
        <v>-62144.193203120667</v>
      </c>
      <c r="H35" s="20">
        <f t="shared" si="5"/>
        <v>-381901.37677942234</v>
      </c>
    </row>
    <row r="36" spans="2:8" x14ac:dyDescent="0.25">
      <c r="B36" s="22">
        <v>26</v>
      </c>
      <c r="C36" s="20">
        <f t="shared" si="0"/>
        <v>-13994.112539787309</v>
      </c>
      <c r="D36" s="20">
        <f t="shared" si="1"/>
        <v>-1281.9425313895861</v>
      </c>
      <c r="E36" s="20">
        <f t="shared" si="2"/>
        <v>-15276.055071176896</v>
      </c>
      <c r="F36" s="20">
        <f t="shared" si="6"/>
        <v>-333751.29611608898</v>
      </c>
      <c r="G36" s="20">
        <f t="shared" si="7"/>
        <v>-63426.135734510259</v>
      </c>
      <c r="H36" s="20">
        <f t="shared" si="5"/>
        <v>-397177.43185059924</v>
      </c>
    </row>
    <row r="37" spans="2:8" x14ac:dyDescent="0.25">
      <c r="B37" s="22">
        <v>27</v>
      </c>
      <c r="C37" s="20">
        <f t="shared" si="0"/>
        <v>-14106.065440105605</v>
      </c>
      <c r="D37" s="20">
        <f t="shared" si="1"/>
        <v>-1169.9896310712877</v>
      </c>
      <c r="E37" s="20">
        <f t="shared" si="2"/>
        <v>-15276.055071176894</v>
      </c>
      <c r="F37" s="20">
        <f t="shared" si="6"/>
        <v>-347857.36155619461</v>
      </c>
      <c r="G37" s="20">
        <f t="shared" si="7"/>
        <v>-64596.125365581538</v>
      </c>
      <c r="H37" s="20">
        <f t="shared" si="5"/>
        <v>-412453.48692177614</v>
      </c>
    </row>
    <row r="38" spans="2:8" x14ac:dyDescent="0.25">
      <c r="B38" s="22">
        <v>28</v>
      </c>
      <c r="C38" s="20">
        <f t="shared" si="0"/>
        <v>-14218.913963626452</v>
      </c>
      <c r="D38" s="20">
        <f t="shared" si="1"/>
        <v>-1057.1411075504429</v>
      </c>
      <c r="E38" s="20">
        <f t="shared" si="2"/>
        <v>-15276.055071176896</v>
      </c>
      <c r="F38" s="20">
        <f t="shared" si="6"/>
        <v>-362076.27551982104</v>
      </c>
      <c r="G38" s="20">
        <f t="shared" si="7"/>
        <v>-65653.266473132011</v>
      </c>
      <c r="H38" s="20">
        <f t="shared" si="5"/>
        <v>-427729.54199295305</v>
      </c>
    </row>
    <row r="39" spans="2:8" x14ac:dyDescent="0.25">
      <c r="B39" s="22">
        <v>29</v>
      </c>
      <c r="C39" s="20">
        <f t="shared" si="0"/>
        <v>-14332.665275335463</v>
      </c>
      <c r="D39" s="20">
        <f t="shared" si="1"/>
        <v>-943.38979584143124</v>
      </c>
      <c r="E39" s="20">
        <f t="shared" si="2"/>
        <v>-15276.055071176894</v>
      </c>
      <c r="F39" s="20">
        <f t="shared" si="6"/>
        <v>-376408.94079515641</v>
      </c>
      <c r="G39" s="20">
        <f t="shared" si="7"/>
        <v>-66596.656268973544</v>
      </c>
      <c r="H39" s="20">
        <f t="shared" si="5"/>
        <v>-443005.59706412995</v>
      </c>
    </row>
    <row r="40" spans="2:8" x14ac:dyDescent="0.25">
      <c r="B40" s="22">
        <v>30</v>
      </c>
      <c r="C40" s="20">
        <f t="shared" si="0"/>
        <v>-14447.326597538146</v>
      </c>
      <c r="D40" s="20">
        <f t="shared" si="1"/>
        <v>-828.72847363874746</v>
      </c>
      <c r="E40" s="20">
        <f t="shared" si="2"/>
        <v>-15276.055071176894</v>
      </c>
      <c r="F40" s="20">
        <f t="shared" si="6"/>
        <v>-390856.26739269466</v>
      </c>
      <c r="G40" s="20">
        <f t="shared" si="7"/>
        <v>-67425.384742612136</v>
      </c>
      <c r="H40" s="20">
        <f t="shared" si="5"/>
        <v>-458281.65213530679</v>
      </c>
    </row>
    <row r="41" spans="2:8" x14ac:dyDescent="0.25">
      <c r="B41" s="22">
        <v>31</v>
      </c>
      <c r="C41" s="20">
        <f t="shared" si="0"/>
        <v>-14562.905210318451</v>
      </c>
      <c r="D41" s="20">
        <f t="shared" si="1"/>
        <v>-713.14986085844225</v>
      </c>
      <c r="E41" s="20">
        <f t="shared" si="2"/>
        <v>-15276.055071176894</v>
      </c>
      <c r="F41" s="20">
        <f t="shared" si="6"/>
        <v>-405419.17260301305</v>
      </c>
      <c r="G41" s="20">
        <f t="shared" si="7"/>
        <v>-68138.534603470645</v>
      </c>
      <c r="H41" s="20">
        <f t="shared" si="5"/>
        <v>-473557.7072064837</v>
      </c>
    </row>
    <row r="42" spans="2:8" x14ac:dyDescent="0.25">
      <c r="B42" s="22">
        <v>32</v>
      </c>
      <c r="C42" s="20">
        <f t="shared" si="0"/>
        <v>-14679.408452000998</v>
      </c>
      <c r="D42" s="20">
        <f t="shared" si="1"/>
        <v>-596.6466191758949</v>
      </c>
      <c r="E42" s="20">
        <f t="shared" si="2"/>
        <v>-15276.055071176894</v>
      </c>
      <c r="F42" s="20">
        <f t="shared" si="6"/>
        <v>-420098.58105501404</v>
      </c>
      <c r="G42" s="20">
        <f t="shared" si="7"/>
        <v>-68735.181222646555</v>
      </c>
      <c r="H42" s="20">
        <f t="shared" si="5"/>
        <v>-488833.7622776606</v>
      </c>
    </row>
    <row r="43" spans="2:8" x14ac:dyDescent="0.25">
      <c r="B43" s="22">
        <v>33</v>
      </c>
      <c r="C43" s="20">
        <f t="shared" si="0"/>
        <v>-14796.843719617009</v>
      </c>
      <c r="D43" s="20">
        <f t="shared" si="1"/>
        <v>-479.21135155988679</v>
      </c>
      <c r="E43" s="20">
        <f t="shared" si="2"/>
        <v>-15276.055071176896</v>
      </c>
      <c r="F43" s="20">
        <f t="shared" si="6"/>
        <v>-434895.42477463116</v>
      </c>
      <c r="G43" s="20">
        <f t="shared" si="7"/>
        <v>-69214.392574206344</v>
      </c>
      <c r="H43" s="20">
        <f t="shared" si="5"/>
        <v>-504109.8173488375</v>
      </c>
    </row>
    <row r="44" spans="2:8" x14ac:dyDescent="0.25">
      <c r="B44" s="22">
        <v>34</v>
      </c>
      <c r="C44" s="20">
        <f t="shared" si="0"/>
        <v>-14915.218469373944</v>
      </c>
      <c r="D44" s="20">
        <f t="shared" si="1"/>
        <v>-360.83660180295067</v>
      </c>
      <c r="E44" s="20">
        <f t="shared" si="2"/>
        <v>-15276.055071176894</v>
      </c>
      <c r="F44" s="20">
        <f t="shared" si="6"/>
        <v>-449810.64324400498</v>
      </c>
      <c r="G44" s="20">
        <f t="shared" si="7"/>
        <v>-69575.229176009423</v>
      </c>
      <c r="H44" s="20">
        <f t="shared" si="5"/>
        <v>-519385.87242001441</v>
      </c>
    </row>
    <row r="45" spans="2:8" x14ac:dyDescent="0.25">
      <c r="B45" s="22">
        <v>35</v>
      </c>
      <c r="C45" s="20">
        <f t="shared" si="0"/>
        <v>-15034.540217128935</v>
      </c>
      <c r="D45" s="20">
        <f t="shared" si="1"/>
        <v>-241.51485404795918</v>
      </c>
      <c r="E45" s="20">
        <f t="shared" si="2"/>
        <v>-15276.055071176894</v>
      </c>
      <c r="F45" s="20">
        <f t="shared" si="6"/>
        <v>-464845.18346113391</v>
      </c>
      <c r="G45" s="20">
        <f t="shared" si="7"/>
        <v>-69816.744030057394</v>
      </c>
      <c r="H45" s="20">
        <f t="shared" si="5"/>
        <v>-534661.92749119131</v>
      </c>
    </row>
    <row r="46" spans="2:8" x14ac:dyDescent="0.25">
      <c r="B46" s="23">
        <v>36</v>
      </c>
      <c r="C46" s="21">
        <f t="shared" si="0"/>
        <v>-15154.816538865967</v>
      </c>
      <c r="D46" s="21">
        <f t="shared" si="1"/>
        <v>-121.23853231092772</v>
      </c>
      <c r="E46" s="21">
        <f t="shared" si="2"/>
        <v>-15276.055071176896</v>
      </c>
      <c r="F46" s="21">
        <f t="shared" si="6"/>
        <v>-479999.99999999988</v>
      </c>
      <c r="G46" s="21">
        <f t="shared" si="7"/>
        <v>-69937.982562368328</v>
      </c>
      <c r="H46" s="21">
        <f t="shared" si="5"/>
        <v>-549937.98256236827</v>
      </c>
    </row>
    <row r="47" spans="2:8" x14ac:dyDescent="0.25">
      <c r="B47" s="24" t="s">
        <v>40</v>
      </c>
      <c r="C47" s="25">
        <f>SUM(C11:C46)</f>
        <v>-479999.99999999988</v>
      </c>
      <c r="D47" s="25">
        <f t="shared" ref="D47:E47" si="8">SUM(D11:D46)</f>
        <v>-69937.982562368212</v>
      </c>
      <c r="E47" s="25">
        <f t="shared" si="8"/>
        <v>-549937.98256236827</v>
      </c>
      <c r="F47" s="21"/>
      <c r="G47" s="21"/>
      <c r="H47" s="2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G6"/>
  <sheetViews>
    <sheetView workbookViewId="0">
      <selection activeCell="G5" sqref="G5"/>
    </sheetView>
  </sheetViews>
  <sheetFormatPr defaultRowHeight="15" x14ac:dyDescent="0.25"/>
  <cols>
    <col min="3" max="3" width="13.28515625" bestFit="1" customWidth="1"/>
    <col min="4" max="4" width="15.5703125" bestFit="1" customWidth="1"/>
    <col min="7" max="7" width="14.140625" bestFit="1" customWidth="1"/>
  </cols>
  <sheetData>
    <row r="2" spans="2:7" x14ac:dyDescent="0.25">
      <c r="B2" s="2" t="s">
        <v>86</v>
      </c>
    </row>
    <row r="4" spans="2:7" x14ac:dyDescent="0.25">
      <c r="B4" s="32" t="s">
        <v>44</v>
      </c>
      <c r="C4" s="32" t="s">
        <v>45</v>
      </c>
      <c r="D4" s="32" t="s">
        <v>46</v>
      </c>
      <c r="F4" t="s">
        <v>48</v>
      </c>
      <c r="G4" t="s">
        <v>47</v>
      </c>
    </row>
    <row r="5" spans="2:7" x14ac:dyDescent="0.25">
      <c r="B5" s="9" t="s">
        <v>12</v>
      </c>
      <c r="C5" s="9" t="s">
        <v>4</v>
      </c>
      <c r="D5" s="10">
        <v>8.5000000000000006E-2</v>
      </c>
      <c r="F5">
        <v>1</v>
      </c>
      <c r="G5" s="7">
        <f>EFFECT(D5,F5)</f>
        <v>8.4999999999999964E-2</v>
      </c>
    </row>
    <row r="6" spans="2:7" x14ac:dyDescent="0.25">
      <c r="B6" s="13" t="s">
        <v>13</v>
      </c>
      <c r="C6" s="13" t="s">
        <v>5</v>
      </c>
      <c r="D6" s="31">
        <v>8.3000000000000004E-2</v>
      </c>
      <c r="F6">
        <v>12</v>
      </c>
      <c r="G6" s="7">
        <f>EFFECT(D6,F6)</f>
        <v>8.6231400831207949E-2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J47"/>
  <sheetViews>
    <sheetView workbookViewId="0">
      <selection activeCell="I20" sqref="I20"/>
    </sheetView>
  </sheetViews>
  <sheetFormatPr defaultRowHeight="15" x14ac:dyDescent="0.25"/>
  <cols>
    <col min="2" max="2" width="13.5703125" customWidth="1"/>
    <col min="3" max="3" width="13.42578125" bestFit="1" customWidth="1"/>
    <col min="4" max="6" width="13.42578125" customWidth="1"/>
    <col min="7" max="7" width="12.85546875" customWidth="1"/>
    <col min="9" max="9" width="13.5703125" customWidth="1"/>
    <col min="10" max="10" width="15.28515625" customWidth="1"/>
  </cols>
  <sheetData>
    <row r="2" spans="2:10" x14ac:dyDescent="0.25">
      <c r="B2" s="2" t="s">
        <v>85</v>
      </c>
    </row>
    <row r="4" spans="2:10" x14ac:dyDescent="0.25">
      <c r="B4" s="8" t="s">
        <v>58</v>
      </c>
      <c r="C4" s="28">
        <v>1400000</v>
      </c>
      <c r="D4" s="26"/>
      <c r="E4" s="26"/>
    </row>
    <row r="5" spans="2:10" x14ac:dyDescent="0.25">
      <c r="B5" s="8" t="s">
        <v>28</v>
      </c>
      <c r="C5" s="16">
        <v>0.11</v>
      </c>
      <c r="D5" s="5"/>
      <c r="E5" s="5"/>
    </row>
    <row r="6" spans="2:10" x14ac:dyDescent="0.25">
      <c r="B6" s="8" t="s">
        <v>59</v>
      </c>
      <c r="C6" s="8">
        <v>3</v>
      </c>
    </row>
    <row r="7" spans="2:10" x14ac:dyDescent="0.25">
      <c r="B7" s="36"/>
      <c r="C7" s="36"/>
    </row>
    <row r="8" spans="2:10" x14ac:dyDescent="0.25">
      <c r="B8" s="41" t="s">
        <v>65</v>
      </c>
      <c r="C8" s="36"/>
      <c r="I8" s="2" t="s">
        <v>66</v>
      </c>
    </row>
    <row r="10" spans="2:10" x14ac:dyDescent="0.25">
      <c r="B10" s="19" t="s">
        <v>37</v>
      </c>
      <c r="C10" s="19" t="s">
        <v>60</v>
      </c>
      <c r="D10" s="19" t="s">
        <v>62</v>
      </c>
      <c r="E10" s="19" t="s">
        <v>63</v>
      </c>
      <c r="F10" s="19" t="s">
        <v>61</v>
      </c>
      <c r="G10" s="19" t="s">
        <v>64</v>
      </c>
      <c r="I10" s="43" t="s">
        <v>9</v>
      </c>
      <c r="J10" s="42">
        <f>-PMT(C5/12,C6*12,C4)</f>
        <v>45834.203963802858</v>
      </c>
    </row>
    <row r="11" spans="2:10" x14ac:dyDescent="0.25">
      <c r="B11" s="9">
        <v>1</v>
      </c>
      <c r="C11" s="40">
        <f>$C$4/$C$6/12</f>
        <v>38888.888888888891</v>
      </c>
      <c r="D11" s="40">
        <f>C4-C11</f>
        <v>1361111.111111111</v>
      </c>
      <c r="E11" s="40"/>
      <c r="F11" s="9"/>
      <c r="G11" s="40">
        <f>C11+F11</f>
        <v>38888.888888888891</v>
      </c>
      <c r="I11" s="44" t="s">
        <v>40</v>
      </c>
      <c r="J11" s="42">
        <f>J10*12*3</f>
        <v>1650031.3426969028</v>
      </c>
    </row>
    <row r="12" spans="2:10" x14ac:dyDescent="0.25">
      <c r="B12" s="9">
        <v>2</v>
      </c>
      <c r="C12" s="40">
        <f t="shared" ref="C12:C46" si="0">$C$4/$C$6/12</f>
        <v>38888.888888888891</v>
      </c>
      <c r="D12" s="40">
        <f>D11-C12</f>
        <v>1322222.222222222</v>
      </c>
      <c r="E12" s="40"/>
      <c r="F12" s="9"/>
      <c r="G12" s="40">
        <f t="shared" ref="G12:G46" si="1">C12+F12</f>
        <v>38888.888888888891</v>
      </c>
    </row>
    <row r="13" spans="2:10" x14ac:dyDescent="0.25">
      <c r="B13" s="9">
        <v>3</v>
      </c>
      <c r="C13" s="40">
        <f t="shared" si="0"/>
        <v>38888.888888888891</v>
      </c>
      <c r="D13" s="40">
        <f t="shared" ref="D13:D46" si="2">D12-C13</f>
        <v>1283333.333333333</v>
      </c>
      <c r="E13" s="40">
        <f>AVERAGE(D11:D13)</f>
        <v>1322222.222222222</v>
      </c>
      <c r="F13" s="40">
        <f>E13*$C$5/4</f>
        <v>36361.111111111102</v>
      </c>
      <c r="G13" s="40">
        <f t="shared" si="1"/>
        <v>75250</v>
      </c>
    </row>
    <row r="14" spans="2:10" x14ac:dyDescent="0.25">
      <c r="B14" s="9">
        <v>4</v>
      </c>
      <c r="C14" s="40">
        <f t="shared" si="0"/>
        <v>38888.888888888891</v>
      </c>
      <c r="D14" s="40">
        <f t="shared" si="2"/>
        <v>1244444.444444444</v>
      </c>
      <c r="E14" s="40"/>
      <c r="F14" s="9"/>
      <c r="G14" s="40">
        <f t="shared" si="1"/>
        <v>38888.888888888891</v>
      </c>
    </row>
    <row r="15" spans="2:10" x14ac:dyDescent="0.25">
      <c r="B15" s="9">
        <v>5</v>
      </c>
      <c r="C15" s="40">
        <f t="shared" si="0"/>
        <v>38888.888888888891</v>
      </c>
      <c r="D15" s="40">
        <f t="shared" si="2"/>
        <v>1205555.555555555</v>
      </c>
      <c r="E15" s="40"/>
      <c r="F15" s="9"/>
      <c r="G15" s="40">
        <f t="shared" si="1"/>
        <v>38888.888888888891</v>
      </c>
    </row>
    <row r="16" spans="2:10" x14ac:dyDescent="0.25">
      <c r="B16" s="9">
        <v>6</v>
      </c>
      <c r="C16" s="40">
        <f t="shared" si="0"/>
        <v>38888.888888888891</v>
      </c>
      <c r="D16" s="40">
        <f t="shared" si="2"/>
        <v>1166666.666666666</v>
      </c>
      <c r="E16" s="40">
        <f>AVERAGE(D14:D16)</f>
        <v>1205555.555555555</v>
      </c>
      <c r="F16" s="40">
        <f>E16*$C$5/4</f>
        <v>33152.777777777766</v>
      </c>
      <c r="G16" s="40">
        <f t="shared" si="1"/>
        <v>72041.666666666657</v>
      </c>
    </row>
    <row r="17" spans="2:7" x14ac:dyDescent="0.25">
      <c r="B17" s="9">
        <v>7</v>
      </c>
      <c r="C17" s="40">
        <f t="shared" si="0"/>
        <v>38888.888888888891</v>
      </c>
      <c r="D17" s="40">
        <f t="shared" si="2"/>
        <v>1127777.7777777771</v>
      </c>
      <c r="E17" s="40"/>
      <c r="F17" s="9"/>
      <c r="G17" s="40">
        <f t="shared" si="1"/>
        <v>38888.888888888891</v>
      </c>
    </row>
    <row r="18" spans="2:7" x14ac:dyDescent="0.25">
      <c r="B18" s="9">
        <v>8</v>
      </c>
      <c r="C18" s="40">
        <f t="shared" si="0"/>
        <v>38888.888888888891</v>
      </c>
      <c r="D18" s="40">
        <f t="shared" si="2"/>
        <v>1088888.8888888881</v>
      </c>
      <c r="E18" s="40"/>
      <c r="F18" s="9"/>
      <c r="G18" s="40">
        <f t="shared" si="1"/>
        <v>38888.888888888891</v>
      </c>
    </row>
    <row r="19" spans="2:7" x14ac:dyDescent="0.25">
      <c r="B19" s="9">
        <v>9</v>
      </c>
      <c r="C19" s="40">
        <f t="shared" si="0"/>
        <v>38888.888888888891</v>
      </c>
      <c r="D19" s="40">
        <f t="shared" si="2"/>
        <v>1049999.9999999991</v>
      </c>
      <c r="E19" s="40">
        <f>AVERAGE(D17:D19)</f>
        <v>1088888.8888888881</v>
      </c>
      <c r="F19" s="40">
        <f>E19*$C$5/4</f>
        <v>29944.444444444423</v>
      </c>
      <c r="G19" s="40">
        <f t="shared" si="1"/>
        <v>68833.333333333314</v>
      </c>
    </row>
    <row r="20" spans="2:7" x14ac:dyDescent="0.25">
      <c r="B20" s="9">
        <v>10</v>
      </c>
      <c r="C20" s="40">
        <f t="shared" si="0"/>
        <v>38888.888888888891</v>
      </c>
      <c r="D20" s="40">
        <f t="shared" si="2"/>
        <v>1011111.1111111102</v>
      </c>
      <c r="E20" s="40"/>
      <c r="F20" s="9"/>
      <c r="G20" s="40">
        <f t="shared" si="1"/>
        <v>38888.888888888891</v>
      </c>
    </row>
    <row r="21" spans="2:7" x14ac:dyDescent="0.25">
      <c r="B21" s="9">
        <v>11</v>
      </c>
      <c r="C21" s="40">
        <f t="shared" si="0"/>
        <v>38888.888888888891</v>
      </c>
      <c r="D21" s="40">
        <f t="shared" si="2"/>
        <v>972222.22222222132</v>
      </c>
      <c r="E21" s="40"/>
      <c r="F21" s="9"/>
      <c r="G21" s="40">
        <f t="shared" si="1"/>
        <v>38888.888888888891</v>
      </c>
    </row>
    <row r="22" spans="2:7" x14ac:dyDescent="0.25">
      <c r="B22" s="9">
        <v>12</v>
      </c>
      <c r="C22" s="40">
        <f t="shared" si="0"/>
        <v>38888.888888888891</v>
      </c>
      <c r="D22" s="40">
        <f t="shared" si="2"/>
        <v>933333.33333333244</v>
      </c>
      <c r="E22" s="40">
        <f>AVERAGE(D20:D22)</f>
        <v>972222.22222222143</v>
      </c>
      <c r="F22" s="40">
        <f>E22*$C$5/4</f>
        <v>26736.111111111091</v>
      </c>
      <c r="G22" s="40">
        <f t="shared" si="1"/>
        <v>65624.999999999985</v>
      </c>
    </row>
    <row r="23" spans="2:7" x14ac:dyDescent="0.25">
      <c r="B23" s="9">
        <v>13</v>
      </c>
      <c r="C23" s="40">
        <f t="shared" si="0"/>
        <v>38888.888888888891</v>
      </c>
      <c r="D23" s="40">
        <f t="shared" si="2"/>
        <v>894444.44444444356</v>
      </c>
      <c r="E23" s="40"/>
      <c r="F23" s="9"/>
      <c r="G23" s="40">
        <f t="shared" si="1"/>
        <v>38888.888888888891</v>
      </c>
    </row>
    <row r="24" spans="2:7" x14ac:dyDescent="0.25">
      <c r="B24" s="9">
        <v>14</v>
      </c>
      <c r="C24" s="40">
        <f t="shared" si="0"/>
        <v>38888.888888888891</v>
      </c>
      <c r="D24" s="40">
        <f t="shared" si="2"/>
        <v>855555.55555555469</v>
      </c>
      <c r="E24" s="40"/>
      <c r="F24" s="9"/>
      <c r="G24" s="40">
        <f t="shared" si="1"/>
        <v>38888.888888888891</v>
      </c>
    </row>
    <row r="25" spans="2:7" x14ac:dyDescent="0.25">
      <c r="B25" s="9">
        <v>15</v>
      </c>
      <c r="C25" s="40">
        <f t="shared" si="0"/>
        <v>38888.888888888891</v>
      </c>
      <c r="D25" s="40">
        <f t="shared" si="2"/>
        <v>816666.66666666581</v>
      </c>
      <c r="E25" s="40">
        <f>AVERAGE(D23:D25)</f>
        <v>855555.55555555469</v>
      </c>
      <c r="F25" s="40">
        <f>E25*$C$5/4</f>
        <v>23527.777777777756</v>
      </c>
      <c r="G25" s="40">
        <f t="shared" si="1"/>
        <v>62416.666666666642</v>
      </c>
    </row>
    <row r="26" spans="2:7" x14ac:dyDescent="0.25">
      <c r="B26" s="9">
        <v>16</v>
      </c>
      <c r="C26" s="40">
        <f t="shared" si="0"/>
        <v>38888.888888888891</v>
      </c>
      <c r="D26" s="40">
        <f t="shared" si="2"/>
        <v>777777.77777777694</v>
      </c>
      <c r="E26" s="40"/>
      <c r="F26" s="9"/>
      <c r="G26" s="40">
        <f t="shared" si="1"/>
        <v>38888.888888888891</v>
      </c>
    </row>
    <row r="27" spans="2:7" x14ac:dyDescent="0.25">
      <c r="B27" s="9">
        <v>17</v>
      </c>
      <c r="C27" s="40">
        <f t="shared" si="0"/>
        <v>38888.888888888891</v>
      </c>
      <c r="D27" s="40">
        <f t="shared" si="2"/>
        <v>738888.88888888806</v>
      </c>
      <c r="E27" s="40"/>
      <c r="F27" s="9"/>
      <c r="G27" s="40">
        <f t="shared" si="1"/>
        <v>38888.888888888891</v>
      </c>
    </row>
    <row r="28" spans="2:7" x14ac:dyDescent="0.25">
      <c r="B28" s="9">
        <v>18</v>
      </c>
      <c r="C28" s="40">
        <f t="shared" si="0"/>
        <v>38888.888888888891</v>
      </c>
      <c r="D28" s="40">
        <f t="shared" si="2"/>
        <v>699999.99999999919</v>
      </c>
      <c r="E28" s="40">
        <f>AVERAGE(D26:D28)</f>
        <v>738888.88888888806</v>
      </c>
      <c r="F28" s="40">
        <f>E28*$C$5/4</f>
        <v>20319.444444444423</v>
      </c>
      <c r="G28" s="40">
        <f t="shared" si="1"/>
        <v>59208.333333333314</v>
      </c>
    </row>
    <row r="29" spans="2:7" x14ac:dyDescent="0.25">
      <c r="B29" s="9">
        <v>19</v>
      </c>
      <c r="C29" s="40">
        <f t="shared" si="0"/>
        <v>38888.888888888891</v>
      </c>
      <c r="D29" s="40">
        <f t="shared" si="2"/>
        <v>661111.11111111031</v>
      </c>
      <c r="E29" s="40"/>
      <c r="F29" s="9"/>
      <c r="G29" s="40">
        <f t="shared" si="1"/>
        <v>38888.888888888891</v>
      </c>
    </row>
    <row r="30" spans="2:7" x14ac:dyDescent="0.25">
      <c r="B30" s="9">
        <v>20</v>
      </c>
      <c r="C30" s="40">
        <f t="shared" si="0"/>
        <v>38888.888888888891</v>
      </c>
      <c r="D30" s="40">
        <f t="shared" si="2"/>
        <v>622222.22222222143</v>
      </c>
      <c r="E30" s="40"/>
      <c r="F30" s="9"/>
      <c r="G30" s="40">
        <f t="shared" si="1"/>
        <v>38888.888888888891</v>
      </c>
    </row>
    <row r="31" spans="2:7" x14ac:dyDescent="0.25">
      <c r="B31" s="9">
        <v>21</v>
      </c>
      <c r="C31" s="40">
        <f t="shared" si="0"/>
        <v>38888.888888888891</v>
      </c>
      <c r="D31" s="40">
        <f t="shared" si="2"/>
        <v>583333.33333333256</v>
      </c>
      <c r="E31" s="40">
        <f>AVERAGE(D29:D31)</f>
        <v>622222.22222222143</v>
      </c>
      <c r="F31" s="40">
        <f>E31*$C$5/4</f>
        <v>17111.111111111091</v>
      </c>
      <c r="G31" s="40">
        <f t="shared" si="1"/>
        <v>55999.999999999985</v>
      </c>
    </row>
    <row r="32" spans="2:7" x14ac:dyDescent="0.25">
      <c r="B32" s="9">
        <v>22</v>
      </c>
      <c r="C32" s="40">
        <f t="shared" si="0"/>
        <v>38888.888888888891</v>
      </c>
      <c r="D32" s="40">
        <f t="shared" si="2"/>
        <v>544444.44444444368</v>
      </c>
      <c r="E32" s="40"/>
      <c r="F32" s="9"/>
      <c r="G32" s="40">
        <f t="shared" si="1"/>
        <v>38888.888888888891</v>
      </c>
    </row>
    <row r="33" spans="2:7" x14ac:dyDescent="0.25">
      <c r="B33" s="9">
        <v>23</v>
      </c>
      <c r="C33" s="40">
        <f t="shared" si="0"/>
        <v>38888.888888888891</v>
      </c>
      <c r="D33" s="40">
        <f t="shared" si="2"/>
        <v>505555.55555555481</v>
      </c>
      <c r="E33" s="40"/>
      <c r="F33" s="9"/>
      <c r="G33" s="40">
        <f t="shared" si="1"/>
        <v>38888.888888888891</v>
      </c>
    </row>
    <row r="34" spans="2:7" x14ac:dyDescent="0.25">
      <c r="B34" s="9">
        <v>24</v>
      </c>
      <c r="C34" s="40">
        <f t="shared" si="0"/>
        <v>38888.888888888891</v>
      </c>
      <c r="D34" s="40">
        <f t="shared" si="2"/>
        <v>466666.66666666593</v>
      </c>
      <c r="E34" s="40">
        <f>AVERAGE(D32:D34)</f>
        <v>505555.55555555486</v>
      </c>
      <c r="F34" s="40">
        <f>E34*$C$5/4</f>
        <v>13902.777777777759</v>
      </c>
      <c r="G34" s="40">
        <f t="shared" si="1"/>
        <v>52791.66666666665</v>
      </c>
    </row>
    <row r="35" spans="2:7" x14ac:dyDescent="0.25">
      <c r="B35" s="9">
        <v>25</v>
      </c>
      <c r="C35" s="40">
        <f t="shared" si="0"/>
        <v>38888.888888888891</v>
      </c>
      <c r="D35" s="40">
        <f t="shared" si="2"/>
        <v>427777.77777777705</v>
      </c>
      <c r="E35" s="40"/>
      <c r="F35" s="9"/>
      <c r="G35" s="40">
        <f t="shared" si="1"/>
        <v>38888.888888888891</v>
      </c>
    </row>
    <row r="36" spans="2:7" x14ac:dyDescent="0.25">
      <c r="B36" s="9">
        <v>26</v>
      </c>
      <c r="C36" s="40">
        <f t="shared" si="0"/>
        <v>38888.888888888891</v>
      </c>
      <c r="D36" s="40">
        <f t="shared" si="2"/>
        <v>388888.88888888818</v>
      </c>
      <c r="E36" s="40"/>
      <c r="F36" s="9"/>
      <c r="G36" s="40">
        <f t="shared" si="1"/>
        <v>38888.888888888891</v>
      </c>
    </row>
    <row r="37" spans="2:7" x14ac:dyDescent="0.25">
      <c r="B37" s="9">
        <v>27</v>
      </c>
      <c r="C37" s="40">
        <f t="shared" si="0"/>
        <v>38888.888888888891</v>
      </c>
      <c r="D37" s="40">
        <f t="shared" si="2"/>
        <v>349999.9999999993</v>
      </c>
      <c r="E37" s="40">
        <f>AVERAGE(D35:D37)</f>
        <v>388888.88888888824</v>
      </c>
      <c r="F37" s="40">
        <f>E37*$C$5/4</f>
        <v>10694.444444444427</v>
      </c>
      <c r="G37" s="40">
        <f t="shared" si="1"/>
        <v>49583.333333333314</v>
      </c>
    </row>
    <row r="38" spans="2:7" x14ac:dyDescent="0.25">
      <c r="B38" s="9">
        <v>28</v>
      </c>
      <c r="C38" s="40">
        <f t="shared" si="0"/>
        <v>38888.888888888891</v>
      </c>
      <c r="D38" s="40">
        <f t="shared" si="2"/>
        <v>311111.11111111043</v>
      </c>
      <c r="E38" s="40"/>
      <c r="F38" s="9"/>
      <c r="G38" s="40">
        <f t="shared" si="1"/>
        <v>38888.888888888891</v>
      </c>
    </row>
    <row r="39" spans="2:7" x14ac:dyDescent="0.25">
      <c r="B39" s="9">
        <v>29</v>
      </c>
      <c r="C39" s="40">
        <f t="shared" si="0"/>
        <v>38888.888888888891</v>
      </c>
      <c r="D39" s="40">
        <f t="shared" si="2"/>
        <v>272222.22222222155</v>
      </c>
      <c r="E39" s="40"/>
      <c r="F39" s="9"/>
      <c r="G39" s="40">
        <f t="shared" si="1"/>
        <v>38888.888888888891</v>
      </c>
    </row>
    <row r="40" spans="2:7" x14ac:dyDescent="0.25">
      <c r="B40" s="9">
        <v>30</v>
      </c>
      <c r="C40" s="40">
        <f t="shared" si="0"/>
        <v>38888.888888888891</v>
      </c>
      <c r="D40" s="40">
        <f t="shared" si="2"/>
        <v>233333.33333333267</v>
      </c>
      <c r="E40" s="40">
        <f>AVERAGE(D38:D40)</f>
        <v>272222.22222222155</v>
      </c>
      <c r="F40" s="40">
        <f>E40*$C$5/4</f>
        <v>7486.1111111110922</v>
      </c>
      <c r="G40" s="40">
        <f t="shared" si="1"/>
        <v>46374.999999999985</v>
      </c>
    </row>
    <row r="41" spans="2:7" x14ac:dyDescent="0.25">
      <c r="B41" s="9">
        <v>31</v>
      </c>
      <c r="C41" s="40">
        <f t="shared" si="0"/>
        <v>38888.888888888891</v>
      </c>
      <c r="D41" s="40">
        <f t="shared" si="2"/>
        <v>194444.4444444438</v>
      </c>
      <c r="E41" s="40"/>
      <c r="F41" s="9"/>
      <c r="G41" s="40">
        <f t="shared" si="1"/>
        <v>38888.888888888891</v>
      </c>
    </row>
    <row r="42" spans="2:7" x14ac:dyDescent="0.25">
      <c r="B42" s="9">
        <v>32</v>
      </c>
      <c r="C42" s="40">
        <f t="shared" si="0"/>
        <v>38888.888888888891</v>
      </c>
      <c r="D42" s="40">
        <f t="shared" si="2"/>
        <v>155555.55555555492</v>
      </c>
      <c r="E42" s="40"/>
      <c r="F42" s="9"/>
      <c r="G42" s="40">
        <f t="shared" si="1"/>
        <v>38888.888888888891</v>
      </c>
    </row>
    <row r="43" spans="2:7" x14ac:dyDescent="0.25">
      <c r="B43" s="9">
        <v>33</v>
      </c>
      <c r="C43" s="40">
        <f t="shared" si="0"/>
        <v>38888.888888888891</v>
      </c>
      <c r="D43" s="40">
        <f t="shared" si="2"/>
        <v>116666.66666666603</v>
      </c>
      <c r="E43" s="40">
        <f>AVERAGE(D41:D43)</f>
        <v>155555.55555555492</v>
      </c>
      <c r="F43" s="40">
        <f>E43*$C$5/4</f>
        <v>4277.7777777777601</v>
      </c>
      <c r="G43" s="40">
        <f t="shared" si="1"/>
        <v>43166.66666666665</v>
      </c>
    </row>
    <row r="44" spans="2:7" x14ac:dyDescent="0.25">
      <c r="B44" s="9">
        <v>34</v>
      </c>
      <c r="C44" s="40">
        <f t="shared" si="0"/>
        <v>38888.888888888891</v>
      </c>
      <c r="D44" s="40">
        <f t="shared" si="2"/>
        <v>77777.777777777141</v>
      </c>
      <c r="E44" s="40"/>
      <c r="F44" s="9"/>
      <c r="G44" s="40">
        <f t="shared" si="1"/>
        <v>38888.888888888891</v>
      </c>
    </row>
    <row r="45" spans="2:7" x14ac:dyDescent="0.25">
      <c r="B45" s="9">
        <v>35</v>
      </c>
      <c r="C45" s="40">
        <f t="shared" si="0"/>
        <v>38888.888888888891</v>
      </c>
      <c r="D45" s="40">
        <f t="shared" si="2"/>
        <v>38888.88888888825</v>
      </c>
      <c r="E45" s="40"/>
      <c r="F45" s="9"/>
      <c r="G45" s="40">
        <f t="shared" si="1"/>
        <v>38888.888888888891</v>
      </c>
    </row>
    <row r="46" spans="2:7" x14ac:dyDescent="0.25">
      <c r="B46" s="9">
        <v>36</v>
      </c>
      <c r="C46" s="40">
        <f t="shared" si="0"/>
        <v>38888.888888888891</v>
      </c>
      <c r="D46" s="40">
        <f t="shared" si="2"/>
        <v>-6.4028427004814148E-10</v>
      </c>
      <c r="E46" s="40">
        <f>AVERAGE(D44:D46)</f>
        <v>38888.88888888825</v>
      </c>
      <c r="F46" s="40">
        <f>E46*$C$5/4</f>
        <v>1069.4444444444268</v>
      </c>
      <c r="G46" s="40">
        <f t="shared" si="1"/>
        <v>39958.333333333314</v>
      </c>
    </row>
    <row r="47" spans="2:7" x14ac:dyDescent="0.25">
      <c r="B47" s="8" t="s">
        <v>40</v>
      </c>
      <c r="C47" s="28">
        <f>SUM(C11:C46)</f>
        <v>1400000.0000000007</v>
      </c>
      <c r="D47" s="28"/>
      <c r="E47" s="28"/>
      <c r="F47" s="28">
        <f>SUM(F13:F46)</f>
        <v>224583.33333333314</v>
      </c>
      <c r="G47" s="28">
        <f>SUM(G11:G46)</f>
        <v>1624583.333333334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I19"/>
  <sheetViews>
    <sheetView workbookViewId="0">
      <selection activeCell="B24" sqref="B24"/>
    </sheetView>
  </sheetViews>
  <sheetFormatPr defaultRowHeight="15" x14ac:dyDescent="0.25"/>
  <cols>
    <col min="2" max="2" width="18.85546875" bestFit="1" customWidth="1"/>
    <col min="3" max="3" width="14.140625" customWidth="1"/>
    <col min="4" max="4" width="11.28515625" customWidth="1"/>
    <col min="5" max="5" width="14.7109375" bestFit="1" customWidth="1"/>
    <col min="7" max="7" width="9.85546875" bestFit="1" customWidth="1"/>
    <col min="8" max="8" width="26" customWidth="1"/>
  </cols>
  <sheetData>
    <row r="2" spans="2:9" x14ac:dyDescent="0.25">
      <c r="B2" s="2" t="s">
        <v>87</v>
      </c>
    </row>
    <row r="4" spans="2:9" x14ac:dyDescent="0.25">
      <c r="B4" s="4" t="s">
        <v>119</v>
      </c>
      <c r="E4" s="4" t="s">
        <v>71</v>
      </c>
      <c r="H4" s="4" t="s">
        <v>61</v>
      </c>
    </row>
    <row r="6" spans="2:9" x14ac:dyDescent="0.25">
      <c r="B6" s="44" t="s">
        <v>67</v>
      </c>
      <c r="C6" s="28">
        <v>-500000</v>
      </c>
      <c r="E6" s="57" t="s">
        <v>72</v>
      </c>
      <c r="F6" s="56">
        <v>0.08</v>
      </c>
      <c r="H6" s="57" t="s">
        <v>97</v>
      </c>
      <c r="I6" s="58">
        <v>0.11</v>
      </c>
    </row>
    <row r="7" spans="2:9" x14ac:dyDescent="0.25">
      <c r="B7" s="45" t="s">
        <v>68</v>
      </c>
      <c r="C7" s="40">
        <v>165000</v>
      </c>
      <c r="E7" s="45" t="s">
        <v>74</v>
      </c>
      <c r="F7" s="11">
        <v>0.05</v>
      </c>
      <c r="H7" s="46" t="s">
        <v>83</v>
      </c>
      <c r="I7" s="31">
        <v>6.5000000000000002E-2</v>
      </c>
    </row>
    <row r="8" spans="2:9" x14ac:dyDescent="0.25">
      <c r="B8" s="45" t="s">
        <v>69</v>
      </c>
      <c r="C8" s="40">
        <v>180000</v>
      </c>
      <c r="E8" s="46" t="s">
        <v>73</v>
      </c>
      <c r="F8" s="52">
        <v>0.03</v>
      </c>
    </row>
    <row r="9" spans="2:9" x14ac:dyDescent="0.25">
      <c r="B9" s="46" t="s">
        <v>70</v>
      </c>
      <c r="C9" s="47">
        <v>210000</v>
      </c>
      <c r="E9" s="67"/>
      <c r="F9" s="38"/>
    </row>
    <row r="10" spans="2:9" x14ac:dyDescent="0.25">
      <c r="B10" s="67"/>
      <c r="C10" s="68"/>
      <c r="E10" s="67"/>
      <c r="F10" s="38"/>
    </row>
    <row r="12" spans="2:9" x14ac:dyDescent="0.25">
      <c r="B12" s="53" t="s">
        <v>75</v>
      </c>
      <c r="C12" s="54">
        <f>NPV(F6,C7:C9)+C6</f>
        <v>-26196.46395366569</v>
      </c>
    </row>
    <row r="13" spans="2:9" x14ac:dyDescent="0.25">
      <c r="B13" s="50" t="s">
        <v>76</v>
      </c>
      <c r="C13" s="29">
        <f>NPV(F7,C7:C9)+C6</f>
        <v>1814.0589569160948</v>
      </c>
    </row>
    <row r="14" spans="2:9" x14ac:dyDescent="0.25">
      <c r="B14" s="51" t="s">
        <v>77</v>
      </c>
      <c r="C14" s="30">
        <f>NPV(F8,C7:C9)+C6</f>
        <v>22041.186865520838</v>
      </c>
    </row>
    <row r="15" spans="2:9" x14ac:dyDescent="0.25">
      <c r="B15" s="48"/>
      <c r="C15" s="3"/>
    </row>
    <row r="16" spans="2:9" x14ac:dyDescent="0.25">
      <c r="B16" s="49" t="s">
        <v>37</v>
      </c>
      <c r="C16" s="19" t="s">
        <v>81</v>
      </c>
      <c r="D16" s="19" t="s">
        <v>82</v>
      </c>
      <c r="E16" s="19" t="s">
        <v>84</v>
      </c>
    </row>
    <row r="17" spans="2:8" x14ac:dyDescent="0.25">
      <c r="B17" s="50" t="s">
        <v>78</v>
      </c>
      <c r="C17" s="29">
        <f>NPV(F7,C7)+C6</f>
        <v>-342857.14285714284</v>
      </c>
      <c r="D17" s="12">
        <f>IRR(C6:C7)</f>
        <v>-0.66999999999999993</v>
      </c>
      <c r="E17" s="12">
        <f>MIRR(C6:C7,I6,I7)</f>
        <v>-0.66999999999999993</v>
      </c>
    </row>
    <row r="18" spans="2:8" x14ac:dyDescent="0.25">
      <c r="B18" s="50" t="s">
        <v>79</v>
      </c>
      <c r="C18" s="29">
        <f>NPV(F7,C7:C8)+C6</f>
        <v>-179591.8367346939</v>
      </c>
      <c r="D18" s="12">
        <f>IRR(C6:C8)</f>
        <v>-0.21272594461925387</v>
      </c>
      <c r="E18" s="12">
        <f>MIRR(C6:C8,I6,I7)</f>
        <v>-0.15652504482942708</v>
      </c>
      <c r="H18" s="65"/>
    </row>
    <row r="19" spans="2:8" x14ac:dyDescent="0.25">
      <c r="B19" s="51" t="s">
        <v>80</v>
      </c>
      <c r="C19" s="30">
        <f>NPV(F7,C7:C9)+C6</f>
        <v>1814.0589569160948</v>
      </c>
      <c r="D19" s="55">
        <f>IRR(C6:C9)</f>
        <v>5.1858616992854989E-2</v>
      </c>
      <c r="E19" s="55">
        <f>MIRR(C6:C9,I6,I7)</f>
        <v>5.603306937016117E-2</v>
      </c>
    </row>
  </sheetData>
  <pageMargins left="0.7" right="0.7" top="0.78740157499999996" bottom="0.78740157499999996" header="0.3" footer="0.3"/>
  <pageSetup paperSize="9" orientation="portrait" r:id="rId1"/>
  <ignoredErrors>
    <ignoredError sqref="D17:D18 E17:E1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G20"/>
  <sheetViews>
    <sheetView workbookViewId="0">
      <selection activeCell="A2" sqref="A2"/>
    </sheetView>
  </sheetViews>
  <sheetFormatPr defaultRowHeight="15" x14ac:dyDescent="0.25"/>
  <cols>
    <col min="2" max="2" width="22.42578125" customWidth="1"/>
    <col min="3" max="3" width="13.28515625" bestFit="1" customWidth="1"/>
    <col min="4" max="4" width="11.85546875" customWidth="1"/>
    <col min="5" max="6" width="15.5703125" bestFit="1" customWidth="1"/>
  </cols>
  <sheetData>
    <row r="2" spans="2:7" x14ac:dyDescent="0.25">
      <c r="B2" s="2" t="s">
        <v>88</v>
      </c>
    </row>
    <row r="3" spans="2:7" x14ac:dyDescent="0.25">
      <c r="B3" s="2"/>
    </row>
    <row r="4" spans="2:7" x14ac:dyDescent="0.25">
      <c r="B4" s="4" t="s">
        <v>119</v>
      </c>
      <c r="F4" s="4" t="s">
        <v>71</v>
      </c>
    </row>
    <row r="5" spans="2:7" x14ac:dyDescent="0.25">
      <c r="B5" s="2"/>
    </row>
    <row r="6" spans="2:7" x14ac:dyDescent="0.25">
      <c r="B6" s="8"/>
      <c r="C6" s="19" t="s">
        <v>89</v>
      </c>
      <c r="D6" s="19" t="s">
        <v>90</v>
      </c>
      <c r="F6" s="57" t="s">
        <v>72</v>
      </c>
      <c r="G6" s="56">
        <v>0.08</v>
      </c>
    </row>
    <row r="7" spans="2:7" x14ac:dyDescent="0.25">
      <c r="B7" s="57" t="s">
        <v>67</v>
      </c>
      <c r="C7" s="59">
        <v>-500000</v>
      </c>
      <c r="D7" s="60">
        <v>43678</v>
      </c>
      <c r="F7" s="45" t="s">
        <v>74</v>
      </c>
      <c r="G7" s="11">
        <v>0.05</v>
      </c>
    </row>
    <row r="8" spans="2:7" x14ac:dyDescent="0.25">
      <c r="B8" s="45" t="s">
        <v>94</v>
      </c>
      <c r="C8" s="40">
        <v>165000</v>
      </c>
      <c r="D8" s="61">
        <v>44013</v>
      </c>
      <c r="F8" s="46" t="s">
        <v>73</v>
      </c>
      <c r="G8" s="52">
        <v>0.03</v>
      </c>
    </row>
    <row r="9" spans="2:7" x14ac:dyDescent="0.25">
      <c r="B9" s="45" t="s">
        <v>95</v>
      </c>
      <c r="C9" s="40">
        <v>180000</v>
      </c>
      <c r="D9" s="61">
        <v>44423</v>
      </c>
    </row>
    <row r="10" spans="2:7" x14ac:dyDescent="0.25">
      <c r="B10" s="46" t="s">
        <v>96</v>
      </c>
      <c r="C10" s="47">
        <v>210000</v>
      </c>
      <c r="D10" s="62">
        <v>44743</v>
      </c>
    </row>
    <row r="13" spans="2:7" x14ac:dyDescent="0.25">
      <c r="B13" s="53" t="s">
        <v>75</v>
      </c>
      <c r="C13" s="54">
        <f>XNPV(G6,C7:C10,D7:D10)</f>
        <v>-24656.463812628499</v>
      </c>
    </row>
    <row r="14" spans="2:7" x14ac:dyDescent="0.25">
      <c r="B14" s="50" t="s">
        <v>76</v>
      </c>
      <c r="C14" s="29">
        <f>XNPV(G7,C7:C10,D7:D10)</f>
        <v>2847.3849439478072</v>
      </c>
    </row>
    <row r="15" spans="2:7" x14ac:dyDescent="0.25">
      <c r="B15" s="51" t="s">
        <v>77</v>
      </c>
      <c r="C15" s="30">
        <f>XNPV(G8,C7:C10,D7:D10)</f>
        <v>22692.339390593756</v>
      </c>
    </row>
    <row r="16" spans="2:7" x14ac:dyDescent="0.25">
      <c r="B16" s="48"/>
      <c r="C16" s="3"/>
    </row>
    <row r="17" spans="2:4" x14ac:dyDescent="0.25">
      <c r="B17" s="49" t="s">
        <v>37</v>
      </c>
      <c r="C17" s="19" t="s">
        <v>117</v>
      </c>
      <c r="D17" s="19" t="s">
        <v>118</v>
      </c>
    </row>
    <row r="18" spans="2:4" x14ac:dyDescent="0.25">
      <c r="B18" s="50" t="s">
        <v>91</v>
      </c>
      <c r="C18" s="29">
        <f>XNPV(G7,C7:C8,D7:D8)</f>
        <v>-342225.71113126108</v>
      </c>
      <c r="D18" s="12">
        <f>XIRR(C7:C8,D7:D8)</f>
        <v>-0.7011895440518856</v>
      </c>
    </row>
    <row r="19" spans="2:4" x14ac:dyDescent="0.25">
      <c r="B19" s="50" t="s">
        <v>92</v>
      </c>
      <c r="C19" s="29">
        <f>XNPV(G7,C7:C9,D7:D9)</f>
        <v>-179287.43626094557</v>
      </c>
      <c r="D19" s="12">
        <f>XIRR(C7:C9,D7:D9)</f>
        <v>-0.21393465325236327</v>
      </c>
    </row>
    <row r="20" spans="2:4" x14ac:dyDescent="0.25">
      <c r="B20" s="51" t="s">
        <v>93</v>
      </c>
      <c r="C20" s="30">
        <f>XNPV(G7,C7:C10,D7:D10)</f>
        <v>2847.3849439478072</v>
      </c>
      <c r="D20" s="55">
        <f>XIRR(C7:C10,D7:D10)</f>
        <v>5.2977684140205386E-2</v>
      </c>
    </row>
  </sheetData>
  <pageMargins left="0.7" right="0.7" top="0.78740157499999996" bottom="0.78740157499999996" header="0.3" footer="0.3"/>
  <ignoredErrors>
    <ignoredError sqref="C18:C20 D18:D20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51"/>
  <sheetViews>
    <sheetView workbookViewId="0">
      <selection activeCell="J23" sqref="J23"/>
    </sheetView>
  </sheetViews>
  <sheetFormatPr defaultRowHeight="15" x14ac:dyDescent="0.25"/>
  <cols>
    <col min="2" max="2" width="11.5703125" customWidth="1"/>
    <col min="3" max="3" width="12.28515625" bestFit="1" customWidth="1"/>
    <col min="4" max="4" width="17.85546875" bestFit="1" customWidth="1"/>
    <col min="5" max="5" width="16" customWidth="1"/>
    <col min="6" max="6" width="7.140625" customWidth="1"/>
    <col min="7" max="7" width="16.5703125" customWidth="1"/>
    <col min="8" max="8" width="13.140625" customWidth="1"/>
  </cols>
  <sheetData>
    <row r="2" spans="2:8" x14ac:dyDescent="0.25">
      <c r="B2" s="2" t="s">
        <v>120</v>
      </c>
    </row>
    <row r="3" spans="2:8" x14ac:dyDescent="0.25">
      <c r="B3" s="2"/>
    </row>
    <row r="4" spans="2:8" x14ac:dyDescent="0.25">
      <c r="B4" s="8"/>
      <c r="C4" s="8"/>
      <c r="D4" s="75" t="s">
        <v>121</v>
      </c>
      <c r="E4" s="75"/>
      <c r="F4" s="8"/>
      <c r="G4" s="75" t="s">
        <v>122</v>
      </c>
      <c r="H4" s="75"/>
    </row>
    <row r="5" spans="2:8" x14ac:dyDescent="0.25">
      <c r="B5" s="8" t="s">
        <v>123</v>
      </c>
      <c r="C5" s="70">
        <v>540000</v>
      </c>
      <c r="D5" s="8" t="s">
        <v>124</v>
      </c>
      <c r="E5" s="71">
        <v>0.11</v>
      </c>
      <c r="F5" s="8"/>
      <c r="G5" s="8" t="s">
        <v>125</v>
      </c>
      <c r="H5" s="72">
        <v>5</v>
      </c>
    </row>
    <row r="6" spans="2:8" x14ac:dyDescent="0.25">
      <c r="B6" s="8" t="s">
        <v>126</v>
      </c>
      <c r="C6" s="72">
        <v>2</v>
      </c>
      <c r="D6" s="8" t="s">
        <v>127</v>
      </c>
      <c r="E6" s="72">
        <v>5</v>
      </c>
      <c r="F6" s="8"/>
      <c r="G6" s="8" t="s">
        <v>127</v>
      </c>
      <c r="H6" s="72">
        <v>5</v>
      </c>
    </row>
    <row r="8" spans="2:8" x14ac:dyDescent="0.25">
      <c r="B8" s="2" t="s">
        <v>0</v>
      </c>
      <c r="C8">
        <v>1</v>
      </c>
      <c r="D8" s="26">
        <f>C5*E5</f>
        <v>59400</v>
      </c>
      <c r="G8" s="26">
        <f>C5/H5</f>
        <v>108000</v>
      </c>
    </row>
    <row r="9" spans="2:8" x14ac:dyDescent="0.25">
      <c r="C9">
        <v>2</v>
      </c>
      <c r="D9" s="3">
        <f>SLN($C$5-$D$8,0,$E$6-1)</f>
        <v>120150</v>
      </c>
      <c r="G9" s="3">
        <f>SYD($C$5-$G$8,0,$H$6-1,C9-1)</f>
        <v>172800</v>
      </c>
    </row>
    <row r="10" spans="2:8" x14ac:dyDescent="0.25">
      <c r="C10">
        <v>3</v>
      </c>
      <c r="D10" s="3">
        <f t="shared" ref="D10:D12" si="0">SLN($C$5-$D$8,0,$E$6-1)</f>
        <v>120150</v>
      </c>
      <c r="G10" s="3">
        <f t="shared" ref="G10:G12" si="1">SYD($C$5-$G$8,0,$H$6-1,C10-1)</f>
        <v>129600</v>
      </c>
    </row>
    <row r="11" spans="2:8" x14ac:dyDescent="0.25">
      <c r="C11">
        <v>4</v>
      </c>
      <c r="D11" s="3">
        <f t="shared" si="0"/>
        <v>120150</v>
      </c>
      <c r="G11" s="3">
        <f t="shared" si="1"/>
        <v>86400</v>
      </c>
    </row>
    <row r="12" spans="2:8" x14ac:dyDescent="0.25">
      <c r="C12">
        <v>5</v>
      </c>
      <c r="D12" s="3">
        <f t="shared" si="0"/>
        <v>120150</v>
      </c>
      <c r="G12" s="3">
        <f t="shared" si="1"/>
        <v>43200</v>
      </c>
    </row>
    <row r="13" spans="2:8" x14ac:dyDescent="0.25">
      <c r="B13" s="2" t="s">
        <v>40</v>
      </c>
      <c r="D13" s="26">
        <f>SUM(D8:D12)</f>
        <v>540000</v>
      </c>
      <c r="G13" s="26">
        <f>SUM(G8:G12)</f>
        <v>540000</v>
      </c>
    </row>
    <row r="15" spans="2:8" x14ac:dyDescent="0.25">
      <c r="B15" s="2" t="s">
        <v>128</v>
      </c>
    </row>
    <row r="17" spans="2:8" x14ac:dyDescent="0.25">
      <c r="B17" s="8"/>
      <c r="C17" s="8"/>
      <c r="D17" s="75" t="s">
        <v>121</v>
      </c>
      <c r="E17" s="75"/>
      <c r="F17" s="8"/>
      <c r="G17" s="75" t="s">
        <v>122</v>
      </c>
      <c r="H17" s="75"/>
    </row>
    <row r="18" spans="2:8" x14ac:dyDescent="0.25">
      <c r="B18" s="8" t="s">
        <v>123</v>
      </c>
      <c r="C18" s="28">
        <v>16400000</v>
      </c>
      <c r="D18" s="8" t="s">
        <v>124</v>
      </c>
      <c r="E18" s="73">
        <v>1.4E-2</v>
      </c>
      <c r="F18" s="8"/>
      <c r="G18" s="8" t="s">
        <v>125</v>
      </c>
      <c r="H18" s="72">
        <v>30</v>
      </c>
    </row>
    <row r="19" spans="2:8" x14ac:dyDescent="0.25">
      <c r="B19" s="8" t="s">
        <v>126</v>
      </c>
      <c r="C19" s="72">
        <v>5</v>
      </c>
      <c r="D19" s="8" t="s">
        <v>127</v>
      </c>
      <c r="E19" s="72">
        <v>30</v>
      </c>
      <c r="F19" s="8"/>
      <c r="G19" s="8" t="s">
        <v>127</v>
      </c>
      <c r="H19" s="72">
        <v>30</v>
      </c>
    </row>
    <row r="21" spans="2:8" x14ac:dyDescent="0.25">
      <c r="B21" s="2" t="s">
        <v>0</v>
      </c>
      <c r="C21">
        <v>1</v>
      </c>
      <c r="D21" s="14">
        <f>C18*E18</f>
        <v>229600</v>
      </c>
      <c r="G21" s="26">
        <f>C18/H18</f>
        <v>546666.66666666663</v>
      </c>
    </row>
    <row r="22" spans="2:8" x14ac:dyDescent="0.25">
      <c r="C22">
        <v>2</v>
      </c>
      <c r="D22" s="3">
        <f>SLN($C$18-$D$21,0,$E$19-1)</f>
        <v>557600</v>
      </c>
      <c r="G22" s="3">
        <f>SYD($C$18-$G$21,0,$H$19-1,C22-1)</f>
        <v>1056888.888888889</v>
      </c>
    </row>
    <row r="23" spans="2:8" x14ac:dyDescent="0.25">
      <c r="C23">
        <v>3</v>
      </c>
      <c r="D23" s="3">
        <f t="shared" ref="D23:D50" si="2">SLN($C$18-$D$21,0,$E$19-1)</f>
        <v>557600</v>
      </c>
      <c r="G23" s="3">
        <f t="shared" ref="G23:G50" si="3">SYD($C$18-$G$21,0,$H$19-1,C23-1)</f>
        <v>1020444.4444444445</v>
      </c>
    </row>
    <row r="24" spans="2:8" x14ac:dyDescent="0.25">
      <c r="C24">
        <v>4</v>
      </c>
      <c r="D24" s="3">
        <f t="shared" si="2"/>
        <v>557600</v>
      </c>
      <c r="G24" s="3">
        <f t="shared" si="3"/>
        <v>984000</v>
      </c>
    </row>
    <row r="25" spans="2:8" x14ac:dyDescent="0.25">
      <c r="C25">
        <v>5</v>
      </c>
      <c r="D25" s="3">
        <f t="shared" si="2"/>
        <v>557600</v>
      </c>
      <c r="G25" s="3">
        <f t="shared" si="3"/>
        <v>947555.55555555562</v>
      </c>
    </row>
    <row r="26" spans="2:8" x14ac:dyDescent="0.25">
      <c r="C26">
        <v>6</v>
      </c>
      <c r="D26" s="3">
        <f t="shared" si="2"/>
        <v>557600</v>
      </c>
      <c r="G26" s="3">
        <f t="shared" si="3"/>
        <v>911111.11111111124</v>
      </c>
    </row>
    <row r="27" spans="2:8" x14ac:dyDescent="0.25">
      <c r="C27">
        <v>7</v>
      </c>
      <c r="D27" s="3">
        <f t="shared" si="2"/>
        <v>557600</v>
      </c>
      <c r="G27" s="3">
        <f t="shared" si="3"/>
        <v>874666.66666666663</v>
      </c>
    </row>
    <row r="28" spans="2:8" x14ac:dyDescent="0.25">
      <c r="C28">
        <v>8</v>
      </c>
      <c r="D28" s="3">
        <f t="shared" si="2"/>
        <v>557600</v>
      </c>
      <c r="G28" s="3">
        <f t="shared" si="3"/>
        <v>838222.22222222225</v>
      </c>
    </row>
    <row r="29" spans="2:8" x14ac:dyDescent="0.25">
      <c r="C29">
        <v>9</v>
      </c>
      <c r="D29" s="3">
        <f t="shared" si="2"/>
        <v>557600</v>
      </c>
      <c r="G29" s="3">
        <f t="shared" si="3"/>
        <v>801777.77777777787</v>
      </c>
    </row>
    <row r="30" spans="2:8" x14ac:dyDescent="0.25">
      <c r="C30">
        <v>10</v>
      </c>
      <c r="D30" s="3">
        <f t="shared" si="2"/>
        <v>557600</v>
      </c>
      <c r="G30" s="3">
        <f t="shared" si="3"/>
        <v>765333.33333333337</v>
      </c>
    </row>
    <row r="31" spans="2:8" x14ac:dyDescent="0.25">
      <c r="C31">
        <v>11</v>
      </c>
      <c r="D31" s="3">
        <f t="shared" si="2"/>
        <v>557600</v>
      </c>
      <c r="G31" s="3">
        <f t="shared" si="3"/>
        <v>728888.88888888899</v>
      </c>
    </row>
    <row r="32" spans="2:8" x14ac:dyDescent="0.25">
      <c r="C32">
        <v>12</v>
      </c>
      <c r="D32" s="3">
        <f t="shared" si="2"/>
        <v>557600</v>
      </c>
      <c r="G32" s="3">
        <f t="shared" si="3"/>
        <v>692444.4444444445</v>
      </c>
    </row>
    <row r="33" spans="3:7" x14ac:dyDescent="0.25">
      <c r="C33">
        <v>13</v>
      </c>
      <c r="D33" s="3">
        <f t="shared" si="2"/>
        <v>557600</v>
      </c>
      <c r="G33" s="3">
        <f t="shared" si="3"/>
        <v>656000</v>
      </c>
    </row>
    <row r="34" spans="3:7" x14ac:dyDescent="0.25">
      <c r="C34">
        <v>14</v>
      </c>
      <c r="D34" s="3">
        <f t="shared" si="2"/>
        <v>557600</v>
      </c>
      <c r="G34" s="3">
        <f t="shared" si="3"/>
        <v>619555.55555555562</v>
      </c>
    </row>
    <row r="35" spans="3:7" x14ac:dyDescent="0.25">
      <c r="C35">
        <v>15</v>
      </c>
      <c r="D35" s="3">
        <f t="shared" si="2"/>
        <v>557600</v>
      </c>
      <c r="G35" s="3">
        <f t="shared" si="3"/>
        <v>583111.11111111112</v>
      </c>
    </row>
    <row r="36" spans="3:7" x14ac:dyDescent="0.25">
      <c r="C36">
        <v>16</v>
      </c>
      <c r="D36" s="3">
        <f t="shared" si="2"/>
        <v>557600</v>
      </c>
      <c r="G36" s="3">
        <f t="shared" si="3"/>
        <v>546666.66666666663</v>
      </c>
    </row>
    <row r="37" spans="3:7" x14ac:dyDescent="0.25">
      <c r="C37">
        <v>17</v>
      </c>
      <c r="D37" s="3">
        <f t="shared" si="2"/>
        <v>557600</v>
      </c>
      <c r="G37" s="3">
        <f t="shared" si="3"/>
        <v>510222.22222222225</v>
      </c>
    </row>
    <row r="38" spans="3:7" x14ac:dyDescent="0.25">
      <c r="C38">
        <v>18</v>
      </c>
      <c r="D38" s="3">
        <f t="shared" si="2"/>
        <v>557600</v>
      </c>
      <c r="G38" s="3">
        <f t="shared" si="3"/>
        <v>473777.77777777781</v>
      </c>
    </row>
    <row r="39" spans="3:7" x14ac:dyDescent="0.25">
      <c r="C39">
        <v>19</v>
      </c>
      <c r="D39" s="3">
        <f t="shared" si="2"/>
        <v>557600</v>
      </c>
      <c r="G39" s="3">
        <f t="shared" si="3"/>
        <v>437333.33333333331</v>
      </c>
    </row>
    <row r="40" spans="3:7" x14ac:dyDescent="0.25">
      <c r="C40">
        <v>20</v>
      </c>
      <c r="D40" s="3">
        <f t="shared" si="2"/>
        <v>557600</v>
      </c>
      <c r="G40" s="3">
        <f t="shared" si="3"/>
        <v>400888.88888888893</v>
      </c>
    </row>
    <row r="41" spans="3:7" x14ac:dyDescent="0.25">
      <c r="C41">
        <v>21</v>
      </c>
      <c r="D41" s="3">
        <f t="shared" si="2"/>
        <v>557600</v>
      </c>
      <c r="G41" s="3">
        <f t="shared" si="3"/>
        <v>364444.4444444445</v>
      </c>
    </row>
    <row r="42" spans="3:7" x14ac:dyDescent="0.25">
      <c r="C42">
        <v>22</v>
      </c>
      <c r="D42" s="3">
        <f t="shared" si="2"/>
        <v>557600</v>
      </c>
      <c r="G42" s="3">
        <f t="shared" si="3"/>
        <v>328000</v>
      </c>
    </row>
    <row r="43" spans="3:7" x14ac:dyDescent="0.25">
      <c r="C43">
        <v>23</v>
      </c>
      <c r="D43" s="3">
        <f t="shared" si="2"/>
        <v>557600</v>
      </c>
      <c r="G43" s="3">
        <f t="shared" si="3"/>
        <v>291555.55555555556</v>
      </c>
    </row>
    <row r="44" spans="3:7" x14ac:dyDescent="0.25">
      <c r="C44">
        <v>24</v>
      </c>
      <c r="D44" s="3">
        <f t="shared" si="2"/>
        <v>557600</v>
      </c>
      <c r="G44" s="3">
        <f t="shared" si="3"/>
        <v>255111.11111111112</v>
      </c>
    </row>
    <row r="45" spans="3:7" x14ac:dyDescent="0.25">
      <c r="C45">
        <v>25</v>
      </c>
      <c r="D45" s="3">
        <f t="shared" si="2"/>
        <v>557600</v>
      </c>
      <c r="G45" s="3">
        <f t="shared" si="3"/>
        <v>218666.66666666666</v>
      </c>
    </row>
    <row r="46" spans="3:7" x14ac:dyDescent="0.25">
      <c r="C46">
        <v>26</v>
      </c>
      <c r="D46" s="3">
        <f t="shared" si="2"/>
        <v>557600</v>
      </c>
      <c r="G46" s="3">
        <f t="shared" si="3"/>
        <v>182222.22222222225</v>
      </c>
    </row>
    <row r="47" spans="3:7" x14ac:dyDescent="0.25">
      <c r="C47">
        <v>27</v>
      </c>
      <c r="D47" s="3">
        <f t="shared" si="2"/>
        <v>557600</v>
      </c>
      <c r="G47" s="3">
        <f t="shared" si="3"/>
        <v>145777.77777777778</v>
      </c>
    </row>
    <row r="48" spans="3:7" x14ac:dyDescent="0.25">
      <c r="C48">
        <v>28</v>
      </c>
      <c r="D48" s="3">
        <f t="shared" si="2"/>
        <v>557600</v>
      </c>
      <c r="G48" s="3">
        <f t="shared" si="3"/>
        <v>109333.33333333333</v>
      </c>
    </row>
    <row r="49" spans="2:7" x14ac:dyDescent="0.25">
      <c r="C49">
        <v>29</v>
      </c>
      <c r="D49" s="3">
        <f t="shared" si="2"/>
        <v>557600</v>
      </c>
      <c r="G49" s="3">
        <f t="shared" si="3"/>
        <v>72888.888888888891</v>
      </c>
    </row>
    <row r="50" spans="2:7" x14ac:dyDescent="0.25">
      <c r="C50">
        <v>30</v>
      </c>
      <c r="D50" s="3">
        <f t="shared" si="2"/>
        <v>557600</v>
      </c>
      <c r="G50" s="3">
        <f t="shared" si="3"/>
        <v>36444.444444444445</v>
      </c>
    </row>
    <row r="51" spans="2:7" x14ac:dyDescent="0.25">
      <c r="B51" s="2" t="s">
        <v>40</v>
      </c>
      <c r="D51" s="14">
        <f>SUM(D21:D50)</f>
        <v>16400000</v>
      </c>
      <c r="G51" s="14">
        <f>SUM(G21:G50)</f>
        <v>16400000</v>
      </c>
    </row>
  </sheetData>
  <mergeCells count="4">
    <mergeCell ref="D4:E4"/>
    <mergeCell ref="G4:H4"/>
    <mergeCell ref="D17:E17"/>
    <mergeCell ref="G17:H17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Úročení</vt:lpstr>
      <vt:lpstr>Úvěr</vt:lpstr>
      <vt:lpstr>Splátky a výnosy</vt:lpstr>
      <vt:lpstr>Další úvěrové funkce</vt:lpstr>
      <vt:lpstr>Přepočet úrokových sazeb</vt:lpstr>
      <vt:lpstr>Stálá splátka jistiny</vt:lpstr>
      <vt:lpstr>Investice1</vt:lpstr>
      <vt:lpstr>Investice2</vt:lpstr>
      <vt:lpstr>Odpisy</vt:lpstr>
      <vt:lpstr>Další funkce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Bures Michal</dc:creator>
  <cp:lastModifiedBy>Posluchač 04</cp:lastModifiedBy>
  <dcterms:created xsi:type="dcterms:W3CDTF">2015-08-04T09:20:23Z</dcterms:created>
  <dcterms:modified xsi:type="dcterms:W3CDTF">2019-08-08T17:27:32Z</dcterms:modified>
</cp:coreProperties>
</file>