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codeName="Tento_sešit"/>
  <mc:AlternateContent xmlns:mc="http://schemas.openxmlformats.org/markup-compatibility/2006">
    <mc:Choice Requires="x15">
      <x15ac:absPath xmlns:x15ac="http://schemas.microsoft.com/office/spreadsheetml/2010/11/ac" url="G:\Publ 2019\excel\Nová verze\Kap 6\priklady\"/>
    </mc:Choice>
  </mc:AlternateContent>
  <xr:revisionPtr revIDLastSave="0" documentId="13_ncr:1_{471823DD-294E-4DA7-A41A-4228C08F6CF1}" xr6:coauthVersionLast="43" xr6:coauthVersionMax="43" xr10:uidLastSave="{00000000-0000-0000-0000-000000000000}"/>
  <bookViews>
    <workbookView xWindow="-120" yWindow="-120" windowWidth="20730" windowHeight="11160" tabRatio="795" xr2:uid="{00000000-000D-0000-FFFF-FFFF00000000}"/>
  </bookViews>
  <sheets>
    <sheet name="Úročení" sheetId="19" r:id="rId1"/>
    <sheet name="Hypotéka" sheetId="21" r:id="rId2"/>
    <sheet name="Mimořádné splátky" sheetId="23" r:id="rId3"/>
    <sheet name="Leasing" sheetId="20" r:id="rId4"/>
    <sheet name="Odpisy" sheetId="17" r:id="rId5"/>
    <sheet name="Půjčka-hypotéka" sheetId="5" state="hidden" r:id="rId6"/>
    <sheet name="Investice" sheetId="2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32" i="19" l="1"/>
  <c r="E20" i="19"/>
  <c r="D20" i="23" l="1"/>
  <c r="C15" i="23"/>
  <c r="C16" i="23" s="1"/>
  <c r="D17" i="23" s="1"/>
  <c r="D15" i="23"/>
  <c r="D16" i="23" l="1"/>
  <c r="D18" i="23" s="1"/>
  <c r="D16" i="22"/>
  <c r="E16" i="22"/>
  <c r="C16" i="22"/>
  <c r="D15" i="22"/>
  <c r="E15" i="22"/>
  <c r="C15" i="22"/>
  <c r="D13" i="22"/>
  <c r="E13" i="22"/>
  <c r="D14" i="22"/>
  <c r="E14" i="22"/>
  <c r="C14" i="22"/>
  <c r="C13" i="22"/>
  <c r="C17" i="21" l="1"/>
  <c r="C16" i="21"/>
  <c r="C18" i="21"/>
  <c r="D17" i="21"/>
  <c r="D16" i="21"/>
  <c r="C12" i="21"/>
  <c r="C11" i="21"/>
  <c r="C9" i="21"/>
  <c r="C10" i="20"/>
  <c r="G6" i="20" s="1"/>
  <c r="C9" i="20"/>
  <c r="E29" i="19"/>
  <c r="E31" i="19" s="1"/>
  <c r="E19" i="19"/>
  <c r="E9" i="19"/>
  <c r="E12" i="19" s="1"/>
  <c r="C11" i="20" l="1"/>
  <c r="H8" i="20" s="1"/>
  <c r="H41" i="20"/>
  <c r="H39" i="20"/>
  <c r="H37" i="20"/>
  <c r="H35" i="20"/>
  <c r="H33" i="20"/>
  <c r="H31" i="20"/>
  <c r="H29" i="20"/>
  <c r="H27" i="20"/>
  <c r="H25" i="20"/>
  <c r="H23" i="20"/>
  <c r="H21" i="20"/>
  <c r="H19" i="20"/>
  <c r="H17" i="20"/>
  <c r="H15" i="20"/>
  <c r="H13" i="20"/>
  <c r="H11" i="20"/>
  <c r="H9" i="20"/>
  <c r="H7" i="20"/>
  <c r="H6" i="20"/>
  <c r="H40" i="20"/>
  <c r="H38" i="20"/>
  <c r="H36" i="20"/>
  <c r="H34" i="20"/>
  <c r="H32" i="20"/>
  <c r="H30" i="20"/>
  <c r="H28" i="20"/>
  <c r="H26" i="20"/>
  <c r="H24" i="20"/>
  <c r="H22" i="20"/>
  <c r="H20" i="20"/>
  <c r="H18" i="20"/>
  <c r="H16" i="20"/>
  <c r="H14" i="20"/>
  <c r="H12" i="20"/>
  <c r="H10" i="20"/>
  <c r="D18" i="21"/>
  <c r="C13" i="21"/>
  <c r="C15" i="20"/>
  <c r="C14" i="20"/>
  <c r="E11" i="19"/>
  <c r="G6" i="17"/>
  <c r="H6" i="17" s="1"/>
  <c r="G7" i="17"/>
  <c r="H7" i="17" s="1"/>
  <c r="G8" i="17"/>
  <c r="H8" i="17" s="1"/>
  <c r="G9" i="17"/>
  <c r="H9" i="17" s="1"/>
  <c r="G5" i="17"/>
  <c r="H5" i="17" s="1"/>
  <c r="H10" i="17" l="1"/>
  <c r="I41" i="20"/>
  <c r="I39" i="20"/>
  <c r="I37" i="20"/>
  <c r="I35" i="20"/>
  <c r="I33" i="20"/>
  <c r="I31" i="20"/>
  <c r="I29" i="20"/>
  <c r="I27" i="20"/>
  <c r="I25" i="20"/>
  <c r="I23" i="20"/>
  <c r="I21" i="20"/>
  <c r="I19" i="20"/>
  <c r="I17" i="20"/>
  <c r="I15" i="20"/>
  <c r="I13" i="20"/>
  <c r="I11" i="20"/>
  <c r="I9" i="20"/>
  <c r="I7" i="20"/>
  <c r="I6" i="20"/>
  <c r="J6" i="20" s="1"/>
  <c r="G7" i="20" s="1"/>
  <c r="I40" i="20"/>
  <c r="I38" i="20"/>
  <c r="I36" i="20"/>
  <c r="I34" i="20"/>
  <c r="I32" i="20"/>
  <c r="I30" i="20"/>
  <c r="I28" i="20"/>
  <c r="I26" i="20"/>
  <c r="I24" i="20"/>
  <c r="I22" i="20"/>
  <c r="I20" i="20"/>
  <c r="I18" i="20"/>
  <c r="I16" i="20"/>
  <c r="I14" i="20"/>
  <c r="I12" i="20"/>
  <c r="I10" i="20"/>
  <c r="I8" i="20"/>
  <c r="F18" i="5"/>
  <c r="F17" i="5"/>
  <c r="F12" i="5"/>
  <c r="F13" i="5"/>
  <c r="F8" i="5"/>
  <c r="F7" i="5"/>
  <c r="B12" i="5"/>
  <c r="B11" i="5"/>
  <c r="F9" i="5" l="1"/>
  <c r="F14" i="5"/>
  <c r="F19" i="5"/>
  <c r="J7" i="20"/>
  <c r="G8" i="20" s="1"/>
  <c r="J8" i="20" s="1"/>
  <c r="G9" i="20" s="1"/>
  <c r="J9" i="20" s="1"/>
  <c r="G10" i="20" s="1"/>
  <c r="J10" i="20" s="1"/>
  <c r="G11" i="20" s="1"/>
  <c r="J11" i="20" s="1"/>
  <c r="G12" i="20" s="1"/>
  <c r="J12" i="20" s="1"/>
  <c r="G13" i="20" s="1"/>
  <c r="J13" i="20" s="1"/>
  <c r="G14" i="20" s="1"/>
  <c r="J14" i="20" s="1"/>
  <c r="G15" i="20" s="1"/>
  <c r="J15" i="20" s="1"/>
  <c r="G16" i="20" s="1"/>
  <c r="J16" i="20" s="1"/>
  <c r="G17" i="20" s="1"/>
  <c r="J17" i="20" s="1"/>
  <c r="G18" i="20" s="1"/>
  <c r="J18" i="20" s="1"/>
  <c r="G19" i="20" s="1"/>
  <c r="J19" i="20" s="1"/>
  <c r="G20" i="20" s="1"/>
  <c r="J20" i="20" s="1"/>
  <c r="G21" i="20" s="1"/>
  <c r="J21" i="20" s="1"/>
  <c r="G22" i="20" s="1"/>
  <c r="J22" i="20" s="1"/>
  <c r="G23" i="20" s="1"/>
  <c r="J23" i="20" s="1"/>
  <c r="G24" i="20" s="1"/>
  <c r="J24" i="20" s="1"/>
  <c r="G25" i="20" s="1"/>
  <c r="J25" i="20" s="1"/>
  <c r="G26" i="20" s="1"/>
  <c r="J26" i="20" s="1"/>
  <c r="G27" i="20" s="1"/>
  <c r="J27" i="20" s="1"/>
  <c r="G28" i="20" s="1"/>
  <c r="J28" i="20" s="1"/>
  <c r="G29" i="20" s="1"/>
  <c r="J29" i="20" s="1"/>
  <c r="G30" i="20" s="1"/>
  <c r="J30" i="20" s="1"/>
  <c r="G31" i="20" s="1"/>
  <c r="J31" i="20" s="1"/>
  <c r="G32" i="20" s="1"/>
  <c r="J32" i="20" s="1"/>
  <c r="G33" i="20" s="1"/>
  <c r="J33" i="20" s="1"/>
  <c r="G34" i="20" s="1"/>
  <c r="J34" i="20" s="1"/>
  <c r="G35" i="20" s="1"/>
  <c r="J35" i="20" s="1"/>
  <c r="G36" i="20" s="1"/>
  <c r="J36" i="20" s="1"/>
  <c r="G37" i="20" s="1"/>
  <c r="J37" i="20" s="1"/>
  <c r="G38" i="20" s="1"/>
  <c r="J38" i="20" s="1"/>
  <c r="G39" i="20" s="1"/>
  <c r="J39" i="20" s="1"/>
  <c r="G40" i="20" s="1"/>
  <c r="J40" i="20" s="1"/>
  <c r="G41" i="20" s="1"/>
  <c r="J41" i="20" s="1"/>
  <c r="D21" i="23" l="1"/>
</calcChain>
</file>

<file path=xl/sharedStrings.xml><?xml version="1.0" encoding="utf-8"?>
<sst xmlns="http://schemas.openxmlformats.org/spreadsheetml/2006/main" count="113" uniqueCount="91">
  <si>
    <t>let</t>
  </si>
  <si>
    <t>výše půjčky</t>
  </si>
  <si>
    <t>počet splátek</t>
  </si>
  <si>
    <t>Platba v prvním měsíci</t>
  </si>
  <si>
    <t>úrok:</t>
  </si>
  <si>
    <t>úroková míra</t>
  </si>
  <si>
    <t>jistina</t>
  </si>
  <si>
    <t>celkem</t>
  </si>
  <si>
    <t>pravidelná splátka</t>
  </si>
  <si>
    <t>Výpočet hypotéky se státní podporou</t>
  </si>
  <si>
    <t>státní podpora</t>
  </si>
  <si>
    <t>splátka se st.podporou</t>
  </si>
  <si>
    <r>
      <t>Platba v 60 měsíci</t>
    </r>
    <r>
      <rPr>
        <b/>
        <i/>
        <sz val="1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( 5 let )</t>
    </r>
  </si>
  <si>
    <r>
      <t>Platba v 119 měsíci</t>
    </r>
    <r>
      <rPr>
        <b/>
        <i/>
        <sz val="1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( předposlední )</t>
    </r>
  </si>
  <si>
    <t>Investice A</t>
  </si>
  <si>
    <t>Investice B</t>
  </si>
  <si>
    <t>Investice C</t>
  </si>
  <si>
    <t>Jak se mi ovlivní výše pravidelných splátek půjčky</t>
  </si>
  <si>
    <t>při 2% státní podpoře (hypoteční úvěr) ?</t>
  </si>
  <si>
    <t>Úroková míra</t>
  </si>
  <si>
    <t>Doba úročení</t>
  </si>
  <si>
    <t>Daň z úroků</t>
  </si>
  <si>
    <t>Jistina celkem</t>
  </si>
  <si>
    <t>Skupina</t>
  </si>
  <si>
    <t>Doba</t>
  </si>
  <si>
    <t>Sazba</t>
  </si>
  <si>
    <t>Koeficient</t>
  </si>
  <si>
    <t>Číslo</t>
  </si>
  <si>
    <t>Investice</t>
  </si>
  <si>
    <t>Cena</t>
  </si>
  <si>
    <t>Rok</t>
  </si>
  <si>
    <t>Výrobní hala</t>
  </si>
  <si>
    <t>Strojní zařízení 1</t>
  </si>
  <si>
    <t>Strojní zařízení 2</t>
  </si>
  <si>
    <t>Počítače</t>
  </si>
  <si>
    <t>Auto</t>
  </si>
  <si>
    <t>Celkem</t>
  </si>
  <si>
    <t>Vklad</t>
  </si>
  <si>
    <t>Odpis</t>
  </si>
  <si>
    <t>Počet let</t>
  </si>
  <si>
    <t>Výběr</t>
  </si>
  <si>
    <t>Úrok</t>
  </si>
  <si>
    <t>Splátka</t>
  </si>
  <si>
    <t>Ročně</t>
  </si>
  <si>
    <t>Měsíčně</t>
  </si>
  <si>
    <t>Skutečný úrok</t>
  </si>
  <si>
    <t>Zapotřebí</t>
  </si>
  <si>
    <t>Naspořeno</t>
  </si>
  <si>
    <t>Cena auta</t>
  </si>
  <si>
    <t>Lesingový koeficient</t>
  </si>
  <si>
    <t>Cena včetně koeficientu</t>
  </si>
  <si>
    <t>Procento akontace</t>
  </si>
  <si>
    <t>Výše akontace</t>
  </si>
  <si>
    <t>Úroky</t>
  </si>
  <si>
    <t>Na konci měsíce</t>
  </si>
  <si>
    <t>Na začátku měsíce</t>
  </si>
  <si>
    <t>Počet splátek (měsíčně)</t>
  </si>
  <si>
    <t>Splátka (měsíčně)</t>
  </si>
  <si>
    <t>Přehled splátek</t>
  </si>
  <si>
    <t>Období</t>
  </si>
  <si>
    <t>Jistina půjčky</t>
  </si>
  <si>
    <t>Zůstatek</t>
  </si>
  <si>
    <t>Výše půjčky</t>
  </si>
  <si>
    <t>Poček roků</t>
  </si>
  <si>
    <t>Datum půjčky</t>
  </si>
  <si>
    <t>Výše splátky</t>
  </si>
  <si>
    <t>Úroky celkem</t>
  </si>
  <si>
    <t>Celkem zaplatit</t>
  </si>
  <si>
    <t>Jistina</t>
  </si>
  <si>
    <t>1.měsíc</t>
  </si>
  <si>
    <t>Poslední měsíc</t>
  </si>
  <si>
    <t>Aktuální měsíc</t>
  </si>
  <si>
    <t>Měsíc</t>
  </si>
  <si>
    <t>Počáteční vklad</t>
  </si>
  <si>
    <t>Sazby</t>
  </si>
  <si>
    <t>Diskontní</t>
  </si>
  <si>
    <t>Úrok pro pořízení investice</t>
  </si>
  <si>
    <t>Úrok pro výnosy z investice</t>
  </si>
  <si>
    <t>NPV</t>
  </si>
  <si>
    <t>Součet</t>
  </si>
  <si>
    <t>IRR</t>
  </si>
  <si>
    <t>MIRR</t>
  </si>
  <si>
    <t>Počet roků</t>
  </si>
  <si>
    <t>Úroková sazba</t>
  </si>
  <si>
    <t>Rozdíl</t>
  </si>
  <si>
    <t>Konec roku</t>
  </si>
  <si>
    <t>Částka</t>
  </si>
  <si>
    <t>Mimořádné splátky</t>
  </si>
  <si>
    <t>Zbylá jistina</t>
  </si>
  <si>
    <t>Bez mimořádných splátek</t>
  </si>
  <si>
    <t>Bez úroků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</si>
</sst>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5" formatCode="#,##0\ &quot;Kč&quot;;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0;[Red]0.00"/>
    <numFmt numFmtId="166" formatCode="_(* #,##0.0_);_(* \(#,##0.0\);_(* &quot;-&quot;??_);_(@_)"/>
    <numFmt numFmtId="167" formatCode="0;[Red]0"/>
    <numFmt numFmtId="168" formatCode="0.00_);[Red]\(0.00\)"/>
    <numFmt numFmtId="169" formatCode="0.00_);\(0.00\)"/>
    <numFmt numFmtId="170" formatCode="0.0_);\(0.0\)"/>
    <numFmt numFmtId="171" formatCode="0_);\(0\)"/>
    <numFmt numFmtId="172" formatCode="0.0_);[Red]\(0.0\)"/>
    <numFmt numFmtId="173" formatCode="0%;\(0%\)"/>
    <numFmt numFmtId="174" formatCode="0.000000"/>
    <numFmt numFmtId="175" formatCode="0.0%"/>
    <numFmt numFmtId="176" formatCode="_-* #,##0\ &quot;Kč&quot;_-;\-* #,##0\ &quot;Kč&quot;_-;_-* &quot;-&quot;??\ &quot;Kč&quot;_-;_-@_-"/>
    <numFmt numFmtId="177" formatCode="_-* #,##0\ _K_č_-;\-* #,##0\ _K_č_-;_-* &quot;-&quot;??\ _K_č_-;_-@_-"/>
    <numFmt numFmtId="178" formatCode="#,##0\ &quot;Kč&quot;"/>
    <numFmt numFmtId="179" formatCode="#,##0.00\ &quot;Kč&quot;"/>
  </numFmts>
  <fonts count="15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vinion"/>
      <charset val="238"/>
    </font>
    <font>
      <sz val="10"/>
      <name val="Arial Unicode MS"/>
      <family val="2"/>
      <charset val="238"/>
    </font>
    <font>
      <sz val="11"/>
      <name val="Calibri"/>
      <family val="2"/>
      <charset val="238"/>
      <scheme val="minor"/>
    </font>
    <font>
      <sz val="8"/>
      <name val="Arial CE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174" fontId="2" fillId="0" borderId="0" applyFill="0" applyBorder="0" applyAlignment="0"/>
    <xf numFmtId="166" fontId="2" fillId="0" borderId="0" applyFill="0" applyBorder="0" applyAlignment="0"/>
    <xf numFmtId="167" fontId="2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4" fontId="4" fillId="0" borderId="0" applyFill="0" applyBorder="0" applyAlignment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5" fillId="2" borderId="0" applyNumberFormat="0" applyBorder="0" applyAlignment="0" applyProtection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10" fontId="5" fillId="3" borderId="3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4" fontId="1" fillId="0" borderId="0" applyFont="0" applyFill="0" applyBorder="0" applyAlignment="0" applyProtection="0"/>
    <xf numFmtId="173" fontId="2" fillId="0" borderId="0"/>
    <xf numFmtId="0" fontId="2" fillId="0" borderId="0"/>
    <xf numFmtId="169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9" fontId="1" fillId="0" borderId="0" applyFont="0" applyFill="0" applyBorder="0" applyAlignment="0" applyProtection="0"/>
    <xf numFmtId="49" fontId="4" fillId="0" borderId="0" applyFill="0" applyBorder="0" applyAlignment="0"/>
    <xf numFmtId="171" fontId="2" fillId="0" borderId="0" applyFill="0" applyBorder="0" applyAlignment="0"/>
    <xf numFmtId="172" fontId="2" fillId="0" borderId="0" applyFill="0" applyBorder="0" applyAlignment="0"/>
  </cellStyleXfs>
  <cellXfs count="58">
    <xf numFmtId="0" fontId="0" fillId="0" borderId="0" xfId="0"/>
    <xf numFmtId="0" fontId="7" fillId="0" borderId="0" xfId="0" applyFont="1"/>
    <xf numFmtId="8" fontId="0" fillId="0" borderId="0" xfId="0" applyNumberFormat="1"/>
    <xf numFmtId="0" fontId="9" fillId="0" borderId="0" xfId="0" applyFont="1"/>
    <xf numFmtId="0" fontId="10" fillId="0" borderId="0" xfId="0" applyFont="1"/>
    <xf numFmtId="0" fontId="8" fillId="0" borderId="0" xfId="0" applyFont="1"/>
    <xf numFmtId="0" fontId="7" fillId="0" borderId="0" xfId="31" applyNumberFormat="1" applyFont="1"/>
    <xf numFmtId="176" fontId="0" fillId="0" borderId="0" xfId="0" applyNumberFormat="1"/>
    <xf numFmtId="0" fontId="7" fillId="0" borderId="9" xfId="0" applyFont="1" applyBorder="1" applyAlignment="1">
      <alignment horizontal="left" indent="1"/>
    </xf>
    <xf numFmtId="176" fontId="7" fillId="0" borderId="6" xfId="31" applyNumberFormat="1" applyFont="1" applyFill="1" applyBorder="1"/>
    <xf numFmtId="0" fontId="7" fillId="0" borderId="10" xfId="0" applyFont="1" applyBorder="1" applyAlignment="1">
      <alignment horizontal="left" indent="1"/>
    </xf>
    <xf numFmtId="175" fontId="1" fillId="0" borderId="7" xfId="43" applyNumberFormat="1" applyFill="1" applyBorder="1" applyAlignment="1">
      <alignment horizontal="center"/>
    </xf>
    <xf numFmtId="0" fontId="7" fillId="0" borderId="11" xfId="0" applyFont="1" applyBorder="1" applyAlignment="1">
      <alignment horizontal="left" indent="1"/>
    </xf>
    <xf numFmtId="177" fontId="1" fillId="0" borderId="8" xfId="15" applyNumberFormat="1" applyFill="1" applyBorder="1"/>
    <xf numFmtId="0" fontId="7" fillId="0" borderId="12" xfId="0" applyFont="1" applyBorder="1" applyAlignment="1">
      <alignment horizontal="left" indent="1"/>
    </xf>
    <xf numFmtId="8" fontId="0" fillId="0" borderId="4" xfId="0" applyNumberFormat="1" applyFill="1" applyBorder="1"/>
    <xf numFmtId="0" fontId="7" fillId="0" borderId="13" xfId="0" applyFont="1" applyBorder="1" applyAlignment="1">
      <alignment horizontal="left" indent="1"/>
    </xf>
    <xf numFmtId="8" fontId="0" fillId="0" borderId="5" xfId="0" applyNumberFormat="1" applyBorder="1"/>
    <xf numFmtId="0" fontId="11" fillId="0" borderId="0" xfId="0" applyFont="1"/>
    <xf numFmtId="0" fontId="12" fillId="0" borderId="0" xfId="0" applyFont="1"/>
    <xf numFmtId="178" fontId="12" fillId="0" borderId="0" xfId="0" applyNumberFormat="1" applyFont="1"/>
    <xf numFmtId="8" fontId="12" fillId="0" borderId="0" xfId="0" applyNumberFormat="1" applyFont="1"/>
    <xf numFmtId="0" fontId="14" fillId="0" borderId="3" xfId="0" applyFont="1" applyBorder="1"/>
    <xf numFmtId="0" fontId="12" fillId="0" borderId="17" xfId="0" applyFont="1" applyBorder="1"/>
    <xf numFmtId="178" fontId="12" fillId="0" borderId="17" xfId="0" applyNumberFormat="1" applyFont="1" applyBorder="1"/>
    <xf numFmtId="8" fontId="12" fillId="0" borderId="17" xfId="0" applyNumberFormat="1" applyFont="1" applyBorder="1"/>
    <xf numFmtId="0" fontId="12" fillId="0" borderId="16" xfId="0" applyFont="1" applyBorder="1"/>
    <xf numFmtId="178" fontId="12" fillId="0" borderId="16" xfId="0" applyNumberFormat="1" applyFont="1" applyBorder="1"/>
    <xf numFmtId="8" fontId="12" fillId="0" borderId="16" xfId="0" applyNumberFormat="1" applyFont="1" applyBorder="1"/>
    <xf numFmtId="0" fontId="12" fillId="0" borderId="3" xfId="0" applyFont="1" applyBorder="1"/>
    <xf numFmtId="178" fontId="12" fillId="0" borderId="3" xfId="0" applyNumberFormat="1" applyFont="1" applyBorder="1"/>
    <xf numFmtId="10" fontId="12" fillId="0" borderId="3" xfId="0" applyNumberFormat="1" applyFont="1" applyBorder="1"/>
    <xf numFmtId="0" fontId="12" fillId="0" borderId="3" xfId="0" applyFont="1" applyBorder="1" applyAlignment="1">
      <alignment horizontal="center"/>
    </xf>
    <xf numFmtId="179" fontId="12" fillId="0" borderId="0" xfId="0" applyNumberFormat="1" applyFont="1"/>
    <xf numFmtId="0" fontId="14" fillId="0" borderId="3" xfId="0" applyFont="1" applyBorder="1" applyAlignment="1">
      <alignment horizontal="center"/>
    </xf>
    <xf numFmtId="0" fontId="14" fillId="0" borderId="0" xfId="0" applyFont="1" applyAlignment="1">
      <alignment horizontal="center"/>
    </xf>
    <xf numFmtId="8" fontId="12" fillId="0" borderId="3" xfId="0" applyNumberFormat="1" applyFont="1" applyBorder="1"/>
    <xf numFmtId="9" fontId="12" fillId="0" borderId="3" xfId="0" applyNumberFormat="1" applyFont="1" applyBorder="1"/>
    <xf numFmtId="9" fontId="12" fillId="0" borderId="0" xfId="0" applyNumberFormat="1" applyFont="1"/>
    <xf numFmtId="10" fontId="12" fillId="0" borderId="0" xfId="0" applyNumberFormat="1" applyFont="1"/>
    <xf numFmtId="14" fontId="12" fillId="0" borderId="3" xfId="0" applyNumberFormat="1" applyFont="1" applyBorder="1"/>
    <xf numFmtId="178" fontId="12" fillId="0" borderId="0" xfId="0" applyNumberFormat="1" applyFont="1" applyBorder="1"/>
    <xf numFmtId="0" fontId="12" fillId="0" borderId="0" xfId="0" applyFont="1" applyAlignment="1">
      <alignment horizontal="center"/>
    </xf>
    <xf numFmtId="179" fontId="12" fillId="0" borderId="3" xfId="0" applyNumberFormat="1" applyFont="1" applyBorder="1"/>
    <xf numFmtId="0" fontId="14" fillId="0" borderId="0" xfId="0" applyFont="1"/>
    <xf numFmtId="0" fontId="12" fillId="0" borderId="18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179" fontId="12" fillId="0" borderId="17" xfId="0" applyNumberFormat="1" applyFont="1" applyBorder="1"/>
    <xf numFmtId="179" fontId="12" fillId="0" borderId="14" xfId="0" applyNumberFormat="1" applyFont="1" applyBorder="1"/>
    <xf numFmtId="0" fontId="12" fillId="0" borderId="16" xfId="0" applyFont="1" applyBorder="1" applyAlignment="1">
      <alignment horizontal="center"/>
    </xf>
    <xf numFmtId="179" fontId="12" fillId="0" borderId="16" xfId="0" applyNumberFormat="1" applyFont="1" applyBorder="1"/>
    <xf numFmtId="179" fontId="12" fillId="0" borderId="15" xfId="0" applyNumberFormat="1" applyFont="1" applyBorder="1"/>
    <xf numFmtId="5" fontId="12" fillId="0" borderId="17" xfId="0" applyNumberFormat="1" applyFont="1" applyBorder="1"/>
    <xf numFmtId="175" fontId="12" fillId="0" borderId="3" xfId="0" applyNumberFormat="1" applyFont="1" applyBorder="1"/>
    <xf numFmtId="10" fontId="12" fillId="0" borderId="16" xfId="0" applyNumberFormat="1" applyFont="1" applyBorder="1"/>
    <xf numFmtId="5" fontId="12" fillId="0" borderId="16" xfId="0" applyNumberFormat="1" applyFont="1" applyBorder="1"/>
    <xf numFmtId="0" fontId="14" fillId="0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</cellXfs>
  <cellStyles count="47">
    <cellStyle name="Calc Currency (0)" xfId="1" xr:uid="{00000000-0005-0000-0000-000000000000}"/>
    <cellStyle name="Calc Currency (2)" xfId="2" xr:uid="{00000000-0005-0000-0000-000001000000}"/>
    <cellStyle name="Calc Percent (0)" xfId="3" xr:uid="{00000000-0005-0000-0000-000002000000}"/>
    <cellStyle name="Calc Percent (1)" xfId="4" xr:uid="{00000000-0005-0000-0000-000003000000}"/>
    <cellStyle name="Calc Percent (2)" xfId="5" xr:uid="{00000000-0005-0000-0000-000004000000}"/>
    <cellStyle name="Calc Units (0)" xfId="6" xr:uid="{00000000-0005-0000-0000-000005000000}"/>
    <cellStyle name="Calc Units (1)" xfId="7" xr:uid="{00000000-0005-0000-0000-000006000000}"/>
    <cellStyle name="Calc Units (2)" xfId="8" xr:uid="{00000000-0005-0000-0000-000007000000}"/>
    <cellStyle name="Comma [0]_#6 Temps &amp; Contractors" xfId="9" xr:uid="{00000000-0005-0000-0000-000008000000}"/>
    <cellStyle name="Comma [00]" xfId="10" xr:uid="{00000000-0005-0000-0000-000009000000}"/>
    <cellStyle name="Comma_#6 Temps &amp; Contractors" xfId="11" xr:uid="{00000000-0005-0000-0000-00000A000000}"/>
    <cellStyle name="Currency [0]_#6 Temps &amp; Contractors" xfId="12" xr:uid="{00000000-0005-0000-0000-00000B000000}"/>
    <cellStyle name="Currency [00]" xfId="13" xr:uid="{00000000-0005-0000-0000-00000C000000}"/>
    <cellStyle name="Currency_#6 Temps &amp; Contractors" xfId="14" xr:uid="{00000000-0005-0000-0000-00000D000000}"/>
    <cellStyle name="Čárka" xfId="15" builtinId="3"/>
    <cellStyle name="Date Short" xfId="16" xr:uid="{00000000-0005-0000-0000-00000F000000}"/>
    <cellStyle name="Enter Currency (0)" xfId="17" xr:uid="{00000000-0005-0000-0000-000010000000}"/>
    <cellStyle name="Enter Currency (2)" xfId="18" xr:uid="{00000000-0005-0000-0000-000011000000}"/>
    <cellStyle name="Enter Units (0)" xfId="19" xr:uid="{00000000-0005-0000-0000-000012000000}"/>
    <cellStyle name="Enter Units (1)" xfId="20" xr:uid="{00000000-0005-0000-0000-000013000000}"/>
    <cellStyle name="Enter Units (2)" xfId="21" xr:uid="{00000000-0005-0000-0000-000014000000}"/>
    <cellStyle name="Grey" xfId="22" xr:uid="{00000000-0005-0000-0000-000015000000}"/>
    <cellStyle name="Header1" xfId="23" xr:uid="{00000000-0005-0000-0000-000016000000}"/>
    <cellStyle name="Header2" xfId="24" xr:uid="{00000000-0005-0000-0000-000017000000}"/>
    <cellStyle name="Input [yellow]" xfId="25" xr:uid="{00000000-0005-0000-0000-000018000000}"/>
    <cellStyle name="Link Currency (0)" xfId="26" xr:uid="{00000000-0005-0000-0000-000019000000}"/>
    <cellStyle name="Link Currency (2)" xfId="27" xr:uid="{00000000-0005-0000-0000-00001A000000}"/>
    <cellStyle name="Link Units (0)" xfId="28" xr:uid="{00000000-0005-0000-0000-00001B000000}"/>
    <cellStyle name="Link Units (1)" xfId="29" xr:uid="{00000000-0005-0000-0000-00001C000000}"/>
    <cellStyle name="Link Units (2)" xfId="30" xr:uid="{00000000-0005-0000-0000-00001D000000}"/>
    <cellStyle name="Měna" xfId="31" builtinId="4"/>
    <cellStyle name="Normal - Style1" xfId="32" xr:uid="{00000000-0005-0000-0000-00001F000000}"/>
    <cellStyle name="Normal_# 41-Market &amp;Trends" xfId="33" xr:uid="{00000000-0005-0000-0000-000020000000}"/>
    <cellStyle name="Normální" xfId="0" builtinId="0"/>
    <cellStyle name="Percent [0]" xfId="34" xr:uid="{00000000-0005-0000-0000-000022000000}"/>
    <cellStyle name="Percent [00]" xfId="35" xr:uid="{00000000-0005-0000-0000-000023000000}"/>
    <cellStyle name="Percent [2]" xfId="36" xr:uid="{00000000-0005-0000-0000-000024000000}"/>
    <cellStyle name="Percent_#6 Temps &amp; Contractors" xfId="37" xr:uid="{00000000-0005-0000-0000-000025000000}"/>
    <cellStyle name="PrePop Currency (0)" xfId="38" xr:uid="{00000000-0005-0000-0000-000026000000}"/>
    <cellStyle name="PrePop Currency (2)" xfId="39" xr:uid="{00000000-0005-0000-0000-000027000000}"/>
    <cellStyle name="PrePop Units (0)" xfId="40" xr:uid="{00000000-0005-0000-0000-000028000000}"/>
    <cellStyle name="PrePop Units (1)" xfId="41" xr:uid="{00000000-0005-0000-0000-000029000000}"/>
    <cellStyle name="PrePop Units (2)" xfId="42" xr:uid="{00000000-0005-0000-0000-00002A000000}"/>
    <cellStyle name="Procenta" xfId="43" builtinId="5"/>
    <cellStyle name="Text Indent A" xfId="44" xr:uid="{00000000-0005-0000-0000-00002C000000}"/>
    <cellStyle name="Text Indent B" xfId="45" xr:uid="{00000000-0005-0000-0000-00002D000000}"/>
    <cellStyle name="Text Indent C" xfId="46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32"/>
  <sheetViews>
    <sheetView tabSelected="1" workbookViewId="0">
      <selection activeCell="A2" sqref="A2"/>
    </sheetView>
  </sheetViews>
  <sheetFormatPr defaultRowHeight="15"/>
  <cols>
    <col min="1" max="3" width="9.140625" style="19"/>
    <col min="4" max="5" width="13.140625" style="19" bestFit="1" customWidth="1"/>
    <col min="6" max="16384" width="9.140625" style="19"/>
  </cols>
  <sheetData>
    <row r="3" spans="2:5">
      <c r="B3" s="35">
        <v>1</v>
      </c>
      <c r="D3" s="29" t="s">
        <v>37</v>
      </c>
      <c r="E3" s="36">
        <v>100000</v>
      </c>
    </row>
    <row r="4" spans="2:5">
      <c r="D4" s="29" t="s">
        <v>20</v>
      </c>
      <c r="E4" s="29">
        <v>10</v>
      </c>
    </row>
    <row r="5" spans="2:5">
      <c r="D5" s="29" t="s">
        <v>19</v>
      </c>
      <c r="E5" s="31">
        <v>2.5000000000000001E-2</v>
      </c>
    </row>
    <row r="6" spans="2:5">
      <c r="D6" s="29" t="s">
        <v>21</v>
      </c>
      <c r="E6" s="37">
        <v>0.15</v>
      </c>
    </row>
    <row r="7" spans="2:5">
      <c r="E7" s="38"/>
    </row>
    <row r="9" spans="2:5">
      <c r="D9" s="19" t="s">
        <v>45</v>
      </c>
      <c r="E9" s="39">
        <f>E5*(1-E6)</f>
        <v>2.1250000000000002E-2</v>
      </c>
    </row>
    <row r="11" spans="2:5">
      <c r="D11" s="19" t="s">
        <v>43</v>
      </c>
      <c r="E11" s="21">
        <f>FV(E9,E4,0,-E3)</f>
        <v>123401.57292041935</v>
      </c>
    </row>
    <row r="12" spans="2:5">
      <c r="D12" s="19" t="s">
        <v>44</v>
      </c>
      <c r="E12" s="21">
        <f>FV(E9/12,E4*12,0,-E3)</f>
        <v>123653.37109205774</v>
      </c>
    </row>
    <row r="15" spans="2:5">
      <c r="B15" s="35">
        <v>2</v>
      </c>
      <c r="D15" s="29" t="s">
        <v>39</v>
      </c>
      <c r="E15" s="29">
        <v>10</v>
      </c>
    </row>
    <row r="16" spans="2:5">
      <c r="D16" s="29" t="s">
        <v>40</v>
      </c>
      <c r="E16" s="36">
        <v>8000</v>
      </c>
    </row>
    <row r="17" spans="2:5">
      <c r="D17" s="29" t="s">
        <v>41</v>
      </c>
      <c r="E17" s="37">
        <v>0.02</v>
      </c>
    </row>
    <row r="19" spans="2:5">
      <c r="D19" s="19" t="s">
        <v>46</v>
      </c>
      <c r="E19" s="21">
        <f>PV(E17/12,E15*12,-E16)</f>
        <v>869438.07301143929</v>
      </c>
    </row>
    <row r="20" spans="2:5">
      <c r="D20" s="19" t="s">
        <v>90</v>
      </c>
      <c r="E20" s="21">
        <f>E15*12*E16</f>
        <v>960000</v>
      </c>
    </row>
    <row r="23" spans="2:5">
      <c r="B23" s="35">
        <v>3</v>
      </c>
      <c r="D23" s="29" t="s">
        <v>39</v>
      </c>
      <c r="E23" s="29">
        <v>10</v>
      </c>
    </row>
    <row r="24" spans="2:5">
      <c r="D24" s="29" t="s">
        <v>41</v>
      </c>
      <c r="E24" s="37">
        <v>0.02</v>
      </c>
    </row>
    <row r="25" spans="2:5">
      <c r="D25" s="29" t="s">
        <v>42</v>
      </c>
      <c r="E25" s="36">
        <v>1000</v>
      </c>
    </row>
    <row r="26" spans="2:5">
      <c r="D26" s="29" t="s">
        <v>21</v>
      </c>
      <c r="E26" s="37">
        <v>0.15</v>
      </c>
    </row>
    <row r="29" spans="2:5">
      <c r="D29" s="19" t="s">
        <v>45</v>
      </c>
      <c r="E29" s="39">
        <f>E24*(1-E26)</f>
        <v>1.7000000000000001E-2</v>
      </c>
    </row>
    <row r="31" spans="2:5">
      <c r="D31" s="19" t="s">
        <v>47</v>
      </c>
      <c r="E31" s="21">
        <f>FV(E29/12,E23*12,-E25)</f>
        <v>130702.77465607868</v>
      </c>
    </row>
    <row r="32" spans="2:5">
      <c r="D32" s="19" t="s">
        <v>90</v>
      </c>
      <c r="E32" s="21">
        <f>E23*E25*12</f>
        <v>120000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G18"/>
  <sheetViews>
    <sheetView workbookViewId="0"/>
  </sheetViews>
  <sheetFormatPr defaultRowHeight="15"/>
  <cols>
    <col min="1" max="1" width="9.140625" style="19" customWidth="1"/>
    <col min="2" max="2" width="14.7109375" style="19" customWidth="1"/>
    <col min="3" max="3" width="14.85546875" style="19" customWidth="1"/>
    <col min="4" max="4" width="14" style="19" customWidth="1"/>
    <col min="5" max="5" width="9.140625" style="19"/>
    <col min="6" max="7" width="10.140625" style="19" bestFit="1" customWidth="1"/>
    <col min="8" max="16384" width="9.140625" style="19"/>
  </cols>
  <sheetData>
    <row r="3" spans="2:4">
      <c r="B3" s="29" t="s">
        <v>62</v>
      </c>
      <c r="C3" s="30">
        <v>2500000</v>
      </c>
    </row>
    <row r="4" spans="2:4">
      <c r="B4" s="29" t="s">
        <v>19</v>
      </c>
      <c r="C4" s="37">
        <v>0.08</v>
      </c>
    </row>
    <row r="5" spans="2:4">
      <c r="B5" s="29" t="s">
        <v>63</v>
      </c>
      <c r="C5" s="29">
        <v>20</v>
      </c>
    </row>
    <row r="6" spans="2:4">
      <c r="B6" s="29" t="s">
        <v>64</v>
      </c>
      <c r="C6" s="40">
        <v>41365</v>
      </c>
    </row>
    <row r="9" spans="2:4">
      <c r="B9" s="19" t="s">
        <v>65</v>
      </c>
      <c r="C9" s="21">
        <f>-PMT(C4/12,C5*12,C3,,1)</f>
        <v>20772.518269705201</v>
      </c>
    </row>
    <row r="11" spans="2:4">
      <c r="B11" s="19" t="s">
        <v>22</v>
      </c>
      <c r="C11" s="41">
        <f>CUMPRINC(C4/12,C5*12,C3,1,C5*12,1)</f>
        <v>-2499999.9999999995</v>
      </c>
    </row>
    <row r="12" spans="2:4">
      <c r="B12" s="19" t="s">
        <v>66</v>
      </c>
      <c r="C12" s="41">
        <f>CUMIPMT(C4/12,C5*12,C3,1,C5*12,1)</f>
        <v>-2485404.3847292485</v>
      </c>
    </row>
    <row r="13" spans="2:4">
      <c r="B13" s="19" t="s">
        <v>67</v>
      </c>
      <c r="C13" s="20">
        <f>SUM(C11:C12)</f>
        <v>-4985404.3847292475</v>
      </c>
    </row>
    <row r="15" spans="2:4">
      <c r="C15" s="42" t="s">
        <v>68</v>
      </c>
      <c r="D15" s="42" t="s">
        <v>53</v>
      </c>
    </row>
    <row r="16" spans="2:4">
      <c r="B16" s="19" t="s">
        <v>69</v>
      </c>
      <c r="C16" s="21">
        <f>PPMT(C4/12,1,C5*12,C3,,1)</f>
        <v>-20772.518269705201</v>
      </c>
      <c r="D16" s="21">
        <f>IPMT(C4/12,1,C5*12,C3,,1)</f>
        <v>0</v>
      </c>
    </row>
    <row r="17" spans="2:7">
      <c r="B17" s="19" t="s">
        <v>70</v>
      </c>
      <c r="C17" s="21">
        <f>PPMT(C4/12,C5*12,C5*12,C3,,1)</f>
        <v>-20634.951923548215</v>
      </c>
      <c r="D17" s="21">
        <f>IPMT(C4/12,C5*12,C5*12,C3,,1)</f>
        <v>-137.56634615698809</v>
      </c>
    </row>
    <row r="18" spans="2:7">
      <c r="B18" s="19" t="s">
        <v>71</v>
      </c>
      <c r="C18" s="21">
        <f>PPMT(C4/12,G18,C5*12,C3,,1)</f>
        <v>-4815.4595304421127</v>
      </c>
      <c r="D18" s="21">
        <f>IPMT(C4/12,G18,C5*12,C3,,1)</f>
        <v>-15957.05873926309</v>
      </c>
      <c r="F18" s="19" t="s">
        <v>72</v>
      </c>
      <c r="G18" s="19">
        <v>21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D23"/>
  <sheetViews>
    <sheetView workbookViewId="0"/>
  </sheetViews>
  <sheetFormatPr defaultRowHeight="15"/>
  <cols>
    <col min="1" max="1" width="9.140625" style="19"/>
    <col min="2" max="2" width="15.42578125" style="19" customWidth="1"/>
    <col min="3" max="4" width="14.7109375" style="19" bestFit="1" customWidth="1"/>
    <col min="5" max="16384" width="9.140625" style="19"/>
  </cols>
  <sheetData>
    <row r="3" spans="2:4">
      <c r="B3" s="29" t="s">
        <v>62</v>
      </c>
      <c r="C3" s="30">
        <v>6000000</v>
      </c>
    </row>
    <row r="4" spans="2:4">
      <c r="B4" s="29" t="s">
        <v>82</v>
      </c>
      <c r="C4" s="29">
        <v>10</v>
      </c>
    </row>
    <row r="5" spans="2:4">
      <c r="B5" s="29" t="s">
        <v>83</v>
      </c>
      <c r="C5" s="31">
        <v>0.115</v>
      </c>
    </row>
    <row r="7" spans="2:4">
      <c r="B7" s="56" t="s">
        <v>87</v>
      </c>
      <c r="C7" s="56"/>
    </row>
    <row r="9" spans="2:4">
      <c r="B9" s="32" t="s">
        <v>85</v>
      </c>
      <c r="C9" s="32" t="s">
        <v>86</v>
      </c>
    </row>
    <row r="10" spans="2:4">
      <c r="B10" s="29">
        <v>2</v>
      </c>
      <c r="C10" s="30">
        <v>500000</v>
      </c>
    </row>
    <row r="11" spans="2:4">
      <c r="B11" s="29">
        <v>5</v>
      </c>
      <c r="C11" s="30">
        <v>1000000</v>
      </c>
    </row>
    <row r="14" spans="2:4">
      <c r="B14" s="19" t="s">
        <v>85</v>
      </c>
      <c r="C14" s="19" t="s">
        <v>88</v>
      </c>
      <c r="D14" s="19" t="s">
        <v>53</v>
      </c>
    </row>
    <row r="15" spans="2:4">
      <c r="B15" s="19">
        <v>2</v>
      </c>
      <c r="C15" s="33">
        <f>CUMPRINC(C5/12,C4*12,C3,1,B15*12,1)+C3-C10</f>
        <v>4729023.2033214215</v>
      </c>
      <c r="D15" s="33">
        <f>CUMIPMT(C5/12,C4*12,C3,1,B10*12,1)</f>
        <v>-1234379.5978379552</v>
      </c>
    </row>
    <row r="16" spans="2:4">
      <c r="B16" s="19">
        <v>5</v>
      </c>
      <c r="C16" s="33">
        <f>CUMPRINC(C5/12,(C4-B15)*12,C15,1,(C4-B16)*12,1)+C15-C11</f>
        <v>1269817.6557280999</v>
      </c>
      <c r="D16" s="33">
        <f>CUMIPMT(C5/12,(C4-B15)*12,C15,1,(B16-B15)*12,1)</f>
        <v>-1368954.1947510059</v>
      </c>
    </row>
    <row r="17" spans="2:4">
      <c r="B17" s="19">
        <v>10</v>
      </c>
      <c r="D17" s="33">
        <f>CUMIPMT(C5/12,(C4-B16)*12,C16,1,(B17-B16)*12,1)</f>
        <v>-389873.04347756621</v>
      </c>
    </row>
    <row r="18" spans="2:4">
      <c r="B18" s="19" t="s">
        <v>36</v>
      </c>
      <c r="D18" s="33">
        <f>SUM(D15:D17)</f>
        <v>-2993206.8360665273</v>
      </c>
    </row>
    <row r="20" spans="2:4">
      <c r="B20" s="19" t="s">
        <v>89</v>
      </c>
      <c r="D20" s="33">
        <f>CUMIPMT(C5/12,C4*12,C3,1,120,1)</f>
        <v>-4026781.9725826653</v>
      </c>
    </row>
    <row r="21" spans="2:4">
      <c r="B21" s="19" t="s">
        <v>84</v>
      </c>
      <c r="D21" s="33">
        <f>D18-D20</f>
        <v>1033575.136516138</v>
      </c>
    </row>
    <row r="23" spans="2:4">
      <c r="D23" s="33"/>
    </row>
  </sheetData>
  <mergeCells count="1">
    <mergeCell ref="B7:C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J41"/>
  <sheetViews>
    <sheetView workbookViewId="0"/>
  </sheetViews>
  <sheetFormatPr defaultRowHeight="15"/>
  <cols>
    <col min="1" max="1" width="9.140625" style="19"/>
    <col min="2" max="2" width="22.85546875" style="19" bestFit="1" customWidth="1"/>
    <col min="3" max="3" width="14.85546875" style="19" customWidth="1"/>
    <col min="4" max="6" width="9.140625" style="19"/>
    <col min="7" max="7" width="14.7109375" style="19" customWidth="1"/>
    <col min="8" max="8" width="13.140625" style="19" customWidth="1"/>
    <col min="9" max="9" width="13.42578125" style="19" customWidth="1"/>
    <col min="10" max="10" width="15.5703125" style="19" customWidth="1"/>
    <col min="11" max="16384" width="9.140625" style="19"/>
  </cols>
  <sheetData>
    <row r="3" spans="2:10">
      <c r="B3" s="29" t="s">
        <v>48</v>
      </c>
      <c r="C3" s="43">
        <v>650000</v>
      </c>
      <c r="F3" s="44" t="s">
        <v>58</v>
      </c>
    </row>
    <row r="4" spans="2:10">
      <c r="B4" s="29" t="s">
        <v>49</v>
      </c>
      <c r="C4" s="29">
        <v>1.1000000000000001</v>
      </c>
    </row>
    <row r="5" spans="2:10">
      <c r="B5" s="29" t="s">
        <v>56</v>
      </c>
      <c r="C5" s="29">
        <v>36</v>
      </c>
      <c r="F5" s="32" t="s">
        <v>59</v>
      </c>
      <c r="G5" s="32" t="s">
        <v>60</v>
      </c>
      <c r="H5" s="32" t="s">
        <v>42</v>
      </c>
      <c r="I5" s="32" t="s">
        <v>41</v>
      </c>
      <c r="J5" s="45" t="s">
        <v>61</v>
      </c>
    </row>
    <row r="6" spans="2:10">
      <c r="B6" s="29" t="s">
        <v>51</v>
      </c>
      <c r="C6" s="37">
        <v>0.3</v>
      </c>
      <c r="F6" s="46">
        <v>1</v>
      </c>
      <c r="G6" s="47">
        <f>C3-C10</f>
        <v>455000</v>
      </c>
      <c r="H6" s="47">
        <f t="shared" ref="H6:H41" si="0">$C$11</f>
        <v>14444.444444444445</v>
      </c>
      <c r="I6" s="25">
        <f t="shared" ref="I6:I41" si="1">-IPMT($C$14,F6,$C$5,$G$6)</f>
        <v>3368.7282674709772</v>
      </c>
      <c r="J6" s="48">
        <f>G6+I6-H6</f>
        <v>443924.28382302652</v>
      </c>
    </row>
    <row r="7" spans="2:10">
      <c r="F7" s="46">
        <v>2</v>
      </c>
      <c r="G7" s="25">
        <f>J6</f>
        <v>443924.28382302652</v>
      </c>
      <c r="H7" s="47">
        <f t="shared" si="0"/>
        <v>14444.444444444445</v>
      </c>
      <c r="I7" s="25">
        <f t="shared" si="1"/>
        <v>3286.7258978712944</v>
      </c>
      <c r="J7" s="48">
        <f>G7+I7-H7</f>
        <v>432766.56527645339</v>
      </c>
    </row>
    <row r="8" spans="2:10">
      <c r="F8" s="46">
        <v>3</v>
      </c>
      <c r="G8" s="25">
        <f t="shared" ref="G8:G41" si="2">J7</f>
        <v>432766.56527645339</v>
      </c>
      <c r="H8" s="47">
        <f t="shared" si="0"/>
        <v>14444.444444444445</v>
      </c>
      <c r="I8" s="25">
        <f t="shared" si="1"/>
        <v>3204.1163992595889</v>
      </c>
      <c r="J8" s="48">
        <f t="shared" ref="J8:J41" si="3">G8+I8-H8</f>
        <v>421526.23723126855</v>
      </c>
    </row>
    <row r="9" spans="2:10">
      <c r="B9" s="19" t="s">
        <v>50</v>
      </c>
      <c r="C9" s="33">
        <f>C3*C4</f>
        <v>715000</v>
      </c>
      <c r="F9" s="46">
        <v>4</v>
      </c>
      <c r="G9" s="25">
        <f t="shared" si="2"/>
        <v>421526.23723126855</v>
      </c>
      <c r="H9" s="47">
        <f t="shared" si="0"/>
        <v>14444.444444444445</v>
      </c>
      <c r="I9" s="25">
        <f t="shared" si="1"/>
        <v>3120.8952765750596</v>
      </c>
      <c r="J9" s="48">
        <f t="shared" si="3"/>
        <v>410202.68806339917</v>
      </c>
    </row>
    <row r="10" spans="2:10">
      <c r="B10" s="19" t="s">
        <v>52</v>
      </c>
      <c r="C10" s="33">
        <f>C6*C3</f>
        <v>195000</v>
      </c>
      <c r="F10" s="46">
        <v>5</v>
      </c>
      <c r="G10" s="25">
        <f t="shared" si="2"/>
        <v>410202.68806339917</v>
      </c>
      <c r="H10" s="47">
        <f t="shared" si="0"/>
        <v>14444.444444444445</v>
      </c>
      <c r="I10" s="25">
        <f t="shared" si="1"/>
        <v>3037.0580014763814</v>
      </c>
      <c r="J10" s="48">
        <f t="shared" si="3"/>
        <v>398795.30162043113</v>
      </c>
    </row>
    <row r="11" spans="2:10">
      <c r="B11" s="19" t="s">
        <v>57</v>
      </c>
      <c r="C11" s="33">
        <f>(C9-C10)/C5</f>
        <v>14444.444444444445</v>
      </c>
      <c r="F11" s="46">
        <v>6</v>
      </c>
      <c r="G11" s="25">
        <f t="shared" si="2"/>
        <v>398795.30162043113</v>
      </c>
      <c r="H11" s="47">
        <f t="shared" si="0"/>
        <v>14444.444444444445</v>
      </c>
      <c r="I11" s="25">
        <f t="shared" si="1"/>
        <v>2952.6000120953008</v>
      </c>
      <c r="J11" s="48">
        <f t="shared" si="3"/>
        <v>387303.45718808199</v>
      </c>
    </row>
    <row r="12" spans="2:10">
      <c r="F12" s="46">
        <v>7</v>
      </c>
      <c r="G12" s="25">
        <f t="shared" si="2"/>
        <v>387303.45718808199</v>
      </c>
      <c r="H12" s="47">
        <f t="shared" si="0"/>
        <v>14444.444444444445</v>
      </c>
      <c r="I12" s="25">
        <f t="shared" si="1"/>
        <v>2867.5167127884151</v>
      </c>
      <c r="J12" s="48">
        <f t="shared" si="3"/>
        <v>375726.52945642598</v>
      </c>
    </row>
    <row r="13" spans="2:10">
      <c r="B13" s="19" t="s">
        <v>53</v>
      </c>
      <c r="F13" s="46">
        <v>8</v>
      </c>
      <c r="G13" s="25">
        <f t="shared" si="2"/>
        <v>375726.52945642598</v>
      </c>
      <c r="H13" s="47">
        <f t="shared" si="0"/>
        <v>14444.444444444445</v>
      </c>
      <c r="I13" s="25">
        <f t="shared" si="1"/>
        <v>2781.8034738871006</v>
      </c>
      <c r="J13" s="48">
        <f t="shared" si="3"/>
        <v>364063.88848586864</v>
      </c>
    </row>
    <row r="14" spans="2:10">
      <c r="B14" s="19" t="s">
        <v>54</v>
      </c>
      <c r="C14" s="39">
        <f>RATE(C5,-C11,C3-C10)</f>
        <v>7.4037983900461036E-3</v>
      </c>
      <c r="F14" s="46">
        <v>9</v>
      </c>
      <c r="G14" s="25">
        <f t="shared" si="2"/>
        <v>364063.88848586864</v>
      </c>
      <c r="H14" s="47">
        <f t="shared" si="0"/>
        <v>14444.444444444445</v>
      </c>
      <c r="I14" s="25">
        <f t="shared" si="1"/>
        <v>2695.4556314456022</v>
      </c>
      <c r="J14" s="48">
        <f t="shared" si="3"/>
        <v>352314.89967286983</v>
      </c>
    </row>
    <row r="15" spans="2:10">
      <c r="B15" s="19" t="s">
        <v>55</v>
      </c>
      <c r="C15" s="39">
        <f>RATE(C5,-C11,C3-C10,,1)</f>
        <v>7.8493791586277117E-3</v>
      </c>
      <c r="F15" s="46">
        <v>10</v>
      </c>
      <c r="G15" s="25">
        <f t="shared" si="2"/>
        <v>352314.89967286983</v>
      </c>
      <c r="H15" s="47">
        <f t="shared" si="0"/>
        <v>14444.444444444445</v>
      </c>
      <c r="I15" s="25">
        <f t="shared" si="1"/>
        <v>2608.4684869872531</v>
      </c>
      <c r="J15" s="48">
        <f t="shared" si="3"/>
        <v>340478.92371541262</v>
      </c>
    </row>
    <row r="16" spans="2:10">
      <c r="F16" s="46">
        <v>11</v>
      </c>
      <c r="G16" s="25">
        <f t="shared" si="2"/>
        <v>340478.92371541262</v>
      </c>
      <c r="H16" s="47">
        <f t="shared" si="0"/>
        <v>14444.444444444445</v>
      </c>
      <c r="I16" s="25">
        <f t="shared" si="1"/>
        <v>2520.8373072488075</v>
      </c>
      <c r="J16" s="48">
        <f t="shared" si="3"/>
        <v>328555.31657821697</v>
      </c>
    </row>
    <row r="17" spans="6:10">
      <c r="F17" s="46">
        <v>12</v>
      </c>
      <c r="G17" s="25">
        <f t="shared" si="2"/>
        <v>328555.31657821697</v>
      </c>
      <c r="H17" s="47">
        <f t="shared" si="0"/>
        <v>14444.444444444445</v>
      </c>
      <c r="I17" s="25">
        <f t="shared" si="1"/>
        <v>2432.5573239228966</v>
      </c>
      <c r="J17" s="48">
        <f t="shared" si="3"/>
        <v>316543.4294576954</v>
      </c>
    </row>
    <row r="18" spans="6:10">
      <c r="F18" s="46">
        <v>13</v>
      </c>
      <c r="G18" s="25">
        <f t="shared" si="2"/>
        <v>316543.4294576954</v>
      </c>
      <c r="H18" s="47">
        <f t="shared" si="0"/>
        <v>14444.444444444445</v>
      </c>
      <c r="I18" s="25">
        <f t="shared" si="1"/>
        <v>2343.623733398565</v>
      </c>
      <c r="J18" s="48">
        <f t="shared" si="3"/>
        <v>304442.60874664952</v>
      </c>
    </row>
    <row r="19" spans="6:10">
      <c r="F19" s="46">
        <v>14</v>
      </c>
      <c r="G19" s="25">
        <f t="shared" si="2"/>
        <v>304442.60874664952</v>
      </c>
      <c r="H19" s="47">
        <f t="shared" si="0"/>
        <v>14444.444444444445</v>
      </c>
      <c r="I19" s="25">
        <f t="shared" si="1"/>
        <v>2254.0316964998874</v>
      </c>
      <c r="J19" s="48">
        <f t="shared" si="3"/>
        <v>292252.19599870499</v>
      </c>
    </row>
    <row r="20" spans="6:10">
      <c r="F20" s="46">
        <v>15</v>
      </c>
      <c r="G20" s="25">
        <f t="shared" si="2"/>
        <v>292252.19599870499</v>
      </c>
      <c r="H20" s="47">
        <f t="shared" si="0"/>
        <v>14444.444444444445</v>
      </c>
      <c r="I20" s="25">
        <f t="shared" si="1"/>
        <v>2163.7763382226585</v>
      </c>
      <c r="J20" s="48">
        <f t="shared" si="3"/>
        <v>279971.52789248322</v>
      </c>
    </row>
    <row r="21" spans="6:10">
      <c r="F21" s="46">
        <v>16</v>
      </c>
      <c r="G21" s="25">
        <f t="shared" si="2"/>
        <v>279971.52789248322</v>
      </c>
      <c r="H21" s="47">
        <f t="shared" si="0"/>
        <v>14444.444444444445</v>
      </c>
      <c r="I21" s="25">
        <f t="shared" si="1"/>
        <v>2072.8527474691241</v>
      </c>
      <c r="J21" s="48">
        <f t="shared" si="3"/>
        <v>267599.93619550794</v>
      </c>
    </row>
    <row r="22" spans="6:10">
      <c r="F22" s="46">
        <v>17</v>
      </c>
      <c r="G22" s="25">
        <f t="shared" si="2"/>
        <v>267599.93619550794</v>
      </c>
      <c r="H22" s="47">
        <f t="shared" si="0"/>
        <v>14444.444444444445</v>
      </c>
      <c r="I22" s="25">
        <f t="shared" si="1"/>
        <v>1981.2559767807506</v>
      </c>
      <c r="J22" s="48">
        <f t="shared" si="3"/>
        <v>255136.74772784422</v>
      </c>
    </row>
    <row r="23" spans="6:10">
      <c r="F23" s="46">
        <v>18</v>
      </c>
      <c r="G23" s="25">
        <f t="shared" si="2"/>
        <v>255136.74772784422</v>
      </c>
      <c r="H23" s="47">
        <f t="shared" si="0"/>
        <v>14444.444444444445</v>
      </c>
      <c r="I23" s="25">
        <f t="shared" si="1"/>
        <v>1888.9810420690217</v>
      </c>
      <c r="J23" s="48">
        <f t="shared" si="3"/>
        <v>242581.28432546882</v>
      </c>
    </row>
    <row r="24" spans="6:10">
      <c r="F24" s="46">
        <v>19</v>
      </c>
      <c r="G24" s="25">
        <f t="shared" si="2"/>
        <v>242581.28432546882</v>
      </c>
      <c r="H24" s="47">
        <f t="shared" si="0"/>
        <v>14444.444444444445</v>
      </c>
      <c r="I24" s="25">
        <f t="shared" si="1"/>
        <v>1796.0229223442327</v>
      </c>
      <c r="J24" s="48">
        <f t="shared" si="3"/>
        <v>229932.86280336863</v>
      </c>
    </row>
    <row r="25" spans="6:10">
      <c r="F25" s="46">
        <v>20</v>
      </c>
      <c r="G25" s="25">
        <f t="shared" si="2"/>
        <v>229932.86280336863</v>
      </c>
      <c r="H25" s="47">
        <f t="shared" si="0"/>
        <v>14444.444444444445</v>
      </c>
      <c r="I25" s="25">
        <f t="shared" si="1"/>
        <v>1702.376559442283</v>
      </c>
      <c r="J25" s="48">
        <f t="shared" si="3"/>
        <v>217190.79491836648</v>
      </c>
    </row>
    <row r="26" spans="6:10">
      <c r="F26" s="46">
        <v>21</v>
      </c>
      <c r="G26" s="25">
        <f t="shared" si="2"/>
        <v>217190.79491836648</v>
      </c>
      <c r="H26" s="47">
        <f t="shared" si="0"/>
        <v>14444.444444444445</v>
      </c>
      <c r="I26" s="25">
        <f t="shared" si="1"/>
        <v>1608.0368577494467</v>
      </c>
      <c r="J26" s="48">
        <f t="shared" si="3"/>
        <v>204354.38733167149</v>
      </c>
    </row>
    <row r="27" spans="6:10">
      <c r="F27" s="46">
        <v>22</v>
      </c>
      <c r="G27" s="25">
        <f t="shared" si="2"/>
        <v>204354.38733167149</v>
      </c>
      <c r="H27" s="47">
        <f t="shared" si="0"/>
        <v>14444.444444444445</v>
      </c>
      <c r="I27" s="25">
        <f t="shared" si="1"/>
        <v>1512.9986839250994</v>
      </c>
      <c r="J27" s="48">
        <f t="shared" si="3"/>
        <v>191422.94157115216</v>
      </c>
    </row>
    <row r="28" spans="6:10">
      <c r="F28" s="46">
        <v>23</v>
      </c>
      <c r="G28" s="25">
        <f t="shared" si="2"/>
        <v>191422.94157115216</v>
      </c>
      <c r="H28" s="47">
        <f t="shared" si="0"/>
        <v>14444.444444444445</v>
      </c>
      <c r="I28" s="25">
        <f t="shared" si="1"/>
        <v>1417.2568666223981</v>
      </c>
      <c r="J28" s="48">
        <f t="shared" si="3"/>
        <v>178395.75399333012</v>
      </c>
    </row>
    <row r="29" spans="6:10">
      <c r="F29" s="46">
        <v>24</v>
      </c>
      <c r="G29" s="25">
        <f t="shared" si="2"/>
        <v>178395.75399333012</v>
      </c>
      <c r="H29" s="47">
        <f t="shared" si="0"/>
        <v>14444.444444444445</v>
      </c>
      <c r="I29" s="25">
        <f t="shared" si="1"/>
        <v>1320.8061962068912</v>
      </c>
      <c r="J29" s="48">
        <f t="shared" si="3"/>
        <v>165272.11574509257</v>
      </c>
    </row>
    <row r="30" spans="6:10">
      <c r="F30" s="46">
        <v>25</v>
      </c>
      <c r="G30" s="25">
        <f t="shared" si="2"/>
        <v>165272.11574509257</v>
      </c>
      <c r="H30" s="47">
        <f t="shared" si="0"/>
        <v>14444.444444444445</v>
      </c>
      <c r="I30" s="25">
        <f t="shared" si="1"/>
        <v>1223.6414244730433</v>
      </c>
      <c r="J30" s="48">
        <f t="shared" si="3"/>
        <v>152051.31272512118</v>
      </c>
    </row>
    <row r="31" spans="6:10">
      <c r="F31" s="46">
        <v>26</v>
      </c>
      <c r="G31" s="25">
        <f t="shared" si="2"/>
        <v>152051.31272512118</v>
      </c>
      <c r="H31" s="47">
        <f t="shared" si="0"/>
        <v>14444.444444444445</v>
      </c>
      <c r="I31" s="25">
        <f t="shared" si="1"/>
        <v>1125.757264358663</v>
      </c>
      <c r="J31" s="48">
        <f t="shared" si="3"/>
        <v>138732.62554503541</v>
      </c>
    </row>
    <row r="32" spans="6:10">
      <c r="F32" s="46">
        <v>27</v>
      </c>
      <c r="G32" s="25">
        <f t="shared" si="2"/>
        <v>138732.62554503541</v>
      </c>
      <c r="H32" s="47">
        <f t="shared" si="0"/>
        <v>14444.444444444445</v>
      </c>
      <c r="I32" s="25">
        <f t="shared" si="1"/>
        <v>1027.1483896572167</v>
      </c>
      <c r="J32" s="48">
        <f t="shared" si="3"/>
        <v>125315.32949024817</v>
      </c>
    </row>
    <row r="33" spans="6:10">
      <c r="F33" s="46">
        <v>28</v>
      </c>
      <c r="G33" s="25">
        <f t="shared" si="2"/>
        <v>125315.32949024817</v>
      </c>
      <c r="H33" s="47">
        <f t="shared" si="0"/>
        <v>14444.444444444445</v>
      </c>
      <c r="I33" s="25">
        <f t="shared" si="1"/>
        <v>927.80943472801187</v>
      </c>
      <c r="J33" s="48">
        <f t="shared" si="3"/>
        <v>111798.69448053173</v>
      </c>
    </row>
    <row r="34" spans="6:10">
      <c r="F34" s="46">
        <v>29</v>
      </c>
      <c r="G34" s="25">
        <f t="shared" si="2"/>
        <v>111798.69448053173</v>
      </c>
      <c r="H34" s="47">
        <f t="shared" si="0"/>
        <v>14444.444444444445</v>
      </c>
      <c r="I34" s="25">
        <f t="shared" si="1"/>
        <v>827.73499420423309</v>
      </c>
      <c r="J34" s="48">
        <f t="shared" si="3"/>
        <v>98181.985030291515</v>
      </c>
    </row>
    <row r="35" spans="6:10">
      <c r="F35" s="46">
        <v>30</v>
      </c>
      <c r="G35" s="25">
        <f t="shared" si="2"/>
        <v>98181.985030291515</v>
      </c>
      <c r="H35" s="47">
        <f t="shared" si="0"/>
        <v>14444.444444444445</v>
      </c>
      <c r="I35" s="25">
        <f t="shared" si="1"/>
        <v>726.91962269881981</v>
      </c>
      <c r="J35" s="48">
        <f t="shared" si="3"/>
        <v>84464.460208545876</v>
      </c>
    </row>
    <row r="36" spans="6:10">
      <c r="F36" s="46">
        <v>31</v>
      </c>
      <c r="G36" s="25">
        <f t="shared" si="2"/>
        <v>84464.460208545876</v>
      </c>
      <c r="H36" s="47">
        <f t="shared" si="0"/>
        <v>14444.444444444445</v>
      </c>
      <c r="I36" s="25">
        <f t="shared" si="1"/>
        <v>625.3578345081628</v>
      </c>
      <c r="J36" s="48">
        <f t="shared" si="3"/>
        <v>70645.373598609585</v>
      </c>
    </row>
    <row r="37" spans="6:10">
      <c r="F37" s="46">
        <v>32</v>
      </c>
      <c r="G37" s="25">
        <f t="shared" si="2"/>
        <v>70645.373598609585</v>
      </c>
      <c r="H37" s="47">
        <f t="shared" si="0"/>
        <v>14444.444444444445</v>
      </c>
      <c r="I37" s="25">
        <f t="shared" si="1"/>
        <v>523.04410331360953</v>
      </c>
      <c r="J37" s="48">
        <f t="shared" si="3"/>
        <v>56723.973257478756</v>
      </c>
    </row>
    <row r="38" spans="6:10">
      <c r="F38" s="46">
        <v>33</v>
      </c>
      <c r="G38" s="25">
        <f t="shared" si="2"/>
        <v>56723.973257478756</v>
      </c>
      <c r="H38" s="47">
        <f t="shared" si="0"/>
        <v>14444.444444444445</v>
      </c>
      <c r="I38" s="25">
        <f t="shared" si="1"/>
        <v>419.97286188075827</v>
      </c>
      <c r="J38" s="48">
        <f t="shared" si="3"/>
        <v>42699.501674915067</v>
      </c>
    </row>
    <row r="39" spans="6:10">
      <c r="F39" s="46">
        <v>34</v>
      </c>
      <c r="G39" s="25">
        <f t="shared" si="2"/>
        <v>42699.501674915067</v>
      </c>
      <c r="H39" s="47">
        <f t="shared" si="0"/>
        <v>14444.444444444445</v>
      </c>
      <c r="I39" s="25">
        <f t="shared" si="1"/>
        <v>316.13850175652658</v>
      </c>
      <c r="J39" s="48">
        <f t="shared" si="3"/>
        <v>28571.195732227148</v>
      </c>
    </row>
    <row r="40" spans="6:10">
      <c r="F40" s="46">
        <v>35</v>
      </c>
      <c r="G40" s="25">
        <f t="shared" si="2"/>
        <v>28571.195732227148</v>
      </c>
      <c r="H40" s="47">
        <f t="shared" si="0"/>
        <v>14444.444444444445</v>
      </c>
      <c r="I40" s="25">
        <f t="shared" si="1"/>
        <v>211.53537296397559</v>
      </c>
      <c r="J40" s="48">
        <f t="shared" si="3"/>
        <v>14338.286660746679</v>
      </c>
    </row>
    <row r="41" spans="6:10">
      <c r="F41" s="49">
        <v>36</v>
      </c>
      <c r="G41" s="28">
        <f t="shared" si="2"/>
        <v>14338.286660746679</v>
      </c>
      <c r="H41" s="50">
        <f t="shared" si="0"/>
        <v>14444.444444444445</v>
      </c>
      <c r="I41" s="28">
        <f t="shared" si="1"/>
        <v>106.15778369487654</v>
      </c>
      <c r="J41" s="51">
        <f t="shared" si="3"/>
        <v>-2.8903741622343659E-9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P17"/>
  <sheetViews>
    <sheetView workbookViewId="0">
      <selection activeCell="A2" sqref="A2"/>
    </sheetView>
  </sheetViews>
  <sheetFormatPr defaultRowHeight="15"/>
  <cols>
    <col min="1" max="2" width="9.140625" style="19"/>
    <col min="3" max="3" width="15.28515625" style="19" bestFit="1" customWidth="1"/>
    <col min="4" max="4" width="9.140625" style="19"/>
    <col min="5" max="5" width="12.28515625" style="19" bestFit="1" customWidth="1"/>
    <col min="6" max="6" width="11.28515625" style="19" bestFit="1" customWidth="1"/>
    <col min="7" max="7" width="9.140625" style="19"/>
    <col min="8" max="8" width="14" style="19" bestFit="1" customWidth="1"/>
    <col min="9" max="15" width="9.140625" style="19"/>
    <col min="16" max="16" width="10.140625" style="19" bestFit="1" customWidth="1"/>
    <col min="17" max="16384" width="9.140625" style="19"/>
  </cols>
  <sheetData>
    <row r="4" spans="2:16">
      <c r="B4" s="34" t="s">
        <v>27</v>
      </c>
      <c r="C4" s="22" t="s">
        <v>28</v>
      </c>
      <c r="D4" s="34" t="s">
        <v>23</v>
      </c>
      <c r="E4" s="34" t="s">
        <v>29</v>
      </c>
      <c r="F4" s="34" t="s">
        <v>30</v>
      </c>
      <c r="G4" s="34" t="s">
        <v>24</v>
      </c>
      <c r="H4" s="34" t="s">
        <v>38</v>
      </c>
      <c r="M4" s="34" t="s">
        <v>23</v>
      </c>
      <c r="N4" s="34" t="s">
        <v>24</v>
      </c>
      <c r="O4" s="34" t="s">
        <v>25</v>
      </c>
      <c r="P4" s="34" t="s">
        <v>26</v>
      </c>
    </row>
    <row r="5" spans="2:16">
      <c r="B5" s="23">
        <v>1</v>
      </c>
      <c r="C5" s="23" t="s">
        <v>31</v>
      </c>
      <c r="D5" s="23">
        <v>5</v>
      </c>
      <c r="E5" s="24">
        <v>36000000</v>
      </c>
      <c r="F5" s="23">
        <v>2004</v>
      </c>
      <c r="G5" s="23">
        <f>VLOOKUP(D5,$M$4:$N$10,2,FALSE)</f>
        <v>30</v>
      </c>
      <c r="H5" s="25">
        <f ca="1">IFERROR(SYD(E5-E5/G5,0,G5-1,YEAR(TODAY())-F5),"Odepsáno")</f>
        <v>1200000</v>
      </c>
      <c r="M5" s="29">
        <v>1</v>
      </c>
      <c r="N5" s="29">
        <v>3</v>
      </c>
      <c r="O5" s="31">
        <v>0.2</v>
      </c>
      <c r="P5" s="29">
        <v>3</v>
      </c>
    </row>
    <row r="6" spans="2:16">
      <c r="B6" s="23">
        <v>2</v>
      </c>
      <c r="C6" s="23" t="s">
        <v>32</v>
      </c>
      <c r="D6" s="23">
        <v>2</v>
      </c>
      <c r="E6" s="24">
        <v>14700000</v>
      </c>
      <c r="F6" s="23">
        <v>2016</v>
      </c>
      <c r="G6" s="23">
        <f>VLOOKUP(D6,$M$4:$N$10,2,FALSE)</f>
        <v>5</v>
      </c>
      <c r="H6" s="25">
        <f t="shared" ref="H6:H9" ca="1" si="0">IFERROR(SYD(E6-E6/G6,0,G6-1,YEAR(TODAY())-F6),"Odepsáno")</f>
        <v>2352000</v>
      </c>
      <c r="M6" s="29">
        <v>2</v>
      </c>
      <c r="N6" s="29">
        <v>5</v>
      </c>
      <c r="O6" s="31">
        <v>0.11</v>
      </c>
      <c r="P6" s="29">
        <v>5</v>
      </c>
    </row>
    <row r="7" spans="2:16">
      <c r="B7" s="23">
        <v>3</v>
      </c>
      <c r="C7" s="23" t="s">
        <v>33</v>
      </c>
      <c r="D7" s="23">
        <v>2</v>
      </c>
      <c r="E7" s="24">
        <v>6470000</v>
      </c>
      <c r="F7" s="23">
        <v>2018</v>
      </c>
      <c r="G7" s="23">
        <f>VLOOKUP(D7,$M$4:$N$10,2,FALSE)</f>
        <v>5</v>
      </c>
      <c r="H7" s="25">
        <f t="shared" ca="1" si="0"/>
        <v>2070400</v>
      </c>
      <c r="M7" s="29">
        <v>3</v>
      </c>
      <c r="N7" s="29">
        <v>10</v>
      </c>
      <c r="O7" s="31">
        <v>5.5E-2</v>
      </c>
      <c r="P7" s="29">
        <v>10</v>
      </c>
    </row>
    <row r="8" spans="2:16">
      <c r="B8" s="23">
        <v>4</v>
      </c>
      <c r="C8" s="23" t="s">
        <v>34</v>
      </c>
      <c r="D8" s="23">
        <v>1</v>
      </c>
      <c r="E8" s="24">
        <v>1402000</v>
      </c>
      <c r="F8" s="23">
        <v>2018</v>
      </c>
      <c r="G8" s="23">
        <f>VLOOKUP(D8,$M$4:$N$10,2,FALSE)</f>
        <v>3</v>
      </c>
      <c r="H8" s="25">
        <f t="shared" ca="1" si="0"/>
        <v>623111.11111111112</v>
      </c>
      <c r="M8" s="29">
        <v>4</v>
      </c>
      <c r="N8" s="29">
        <v>20</v>
      </c>
      <c r="O8" s="31">
        <v>2.1499999999999998E-2</v>
      </c>
      <c r="P8" s="29">
        <v>20</v>
      </c>
    </row>
    <row r="9" spans="2:16">
      <c r="B9" s="26">
        <v>5</v>
      </c>
      <c r="C9" s="26" t="s">
        <v>35</v>
      </c>
      <c r="D9" s="26">
        <v>2</v>
      </c>
      <c r="E9" s="27">
        <v>10023000</v>
      </c>
      <c r="F9" s="26">
        <v>2014</v>
      </c>
      <c r="G9" s="26">
        <f>VLOOKUP(D9,$M$4:$N$10,2,FALSE)</f>
        <v>5</v>
      </c>
      <c r="H9" s="28" t="str">
        <f t="shared" ca="1" si="0"/>
        <v>Odepsáno</v>
      </c>
      <c r="M9" s="29">
        <v>5</v>
      </c>
      <c r="N9" s="29">
        <v>30</v>
      </c>
      <c r="O9" s="31">
        <v>1.4E-2</v>
      </c>
      <c r="P9" s="29">
        <v>30</v>
      </c>
    </row>
    <row r="10" spans="2:16">
      <c r="C10" s="19" t="s">
        <v>36</v>
      </c>
      <c r="H10" s="21">
        <f ca="1">SUM(H5:H9)</f>
        <v>6245511.111111111</v>
      </c>
      <c r="M10" s="29">
        <v>6</v>
      </c>
      <c r="N10" s="29">
        <v>50</v>
      </c>
      <c r="O10" s="31">
        <v>1.0200000000000001E-2</v>
      </c>
      <c r="P10" s="29">
        <v>50</v>
      </c>
    </row>
    <row r="14" spans="2:16">
      <c r="F14" s="20"/>
    </row>
    <row r="15" spans="2:16">
      <c r="F15" s="21"/>
    </row>
    <row r="16" spans="2:16">
      <c r="F16" s="21"/>
      <c r="G16" s="21"/>
    </row>
    <row r="17" spans="6:6">
      <c r="F17" s="20"/>
    </row>
  </sheetData>
  <phoneticPr fontId="13" type="noConversion"/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8"/>
  <dimension ref="A1:F29"/>
  <sheetViews>
    <sheetView showGridLines="0" workbookViewId="0"/>
  </sheetViews>
  <sheetFormatPr defaultRowHeight="12.75"/>
  <cols>
    <col min="1" max="1" width="23.85546875" customWidth="1"/>
    <col min="2" max="2" width="19" bestFit="1" customWidth="1"/>
    <col min="3" max="4" width="5.5703125" customWidth="1"/>
    <col min="5" max="5" width="26.28515625" customWidth="1"/>
    <col min="6" max="6" width="14.85546875" customWidth="1"/>
    <col min="7" max="7" width="11.5703125" bestFit="1" customWidth="1"/>
  </cols>
  <sheetData>
    <row r="1" spans="1:6">
      <c r="A1" s="4" t="s">
        <v>9</v>
      </c>
    </row>
    <row r="3" spans="1:6">
      <c r="A3" s="3" t="s">
        <v>17</v>
      </c>
    </row>
    <row r="4" spans="1:6">
      <c r="A4" s="3" t="s">
        <v>18</v>
      </c>
    </row>
    <row r="6" spans="1:6" ht="13.5" thickBot="1">
      <c r="E6" s="1" t="s">
        <v>3</v>
      </c>
    </row>
    <row r="7" spans="1:6">
      <c r="A7" s="8" t="s">
        <v>1</v>
      </c>
      <c r="B7" s="9">
        <v>1000000</v>
      </c>
      <c r="E7" t="s">
        <v>4</v>
      </c>
      <c r="F7" s="2">
        <f>IPMT((B8-B9)/12,1,B10*12,B7)</f>
        <v>-4999.9999999999991</v>
      </c>
    </row>
    <row r="8" spans="1:6">
      <c r="A8" s="10" t="s">
        <v>5</v>
      </c>
      <c r="B8" s="11">
        <v>0.08</v>
      </c>
      <c r="E8" t="s">
        <v>6</v>
      </c>
      <c r="F8" s="2">
        <f>PPMT((B8-B9)/12,1,B10*12,B7)</f>
        <v>-6102.0501941649427</v>
      </c>
    </row>
    <row r="9" spans="1:6">
      <c r="A9" s="10" t="s">
        <v>10</v>
      </c>
      <c r="B9" s="11">
        <v>0.02</v>
      </c>
      <c r="E9" s="5" t="s">
        <v>7</v>
      </c>
      <c r="F9" s="2">
        <f>+F8+F7</f>
        <v>-11102.050194164942</v>
      </c>
    </row>
    <row r="10" spans="1:6" ht="13.5" thickBot="1">
      <c r="A10" s="12" t="s">
        <v>2</v>
      </c>
      <c r="B10" s="13">
        <v>10</v>
      </c>
      <c r="C10" t="s">
        <v>0</v>
      </c>
    </row>
    <row r="11" spans="1:6" ht="13.5" thickBot="1">
      <c r="A11" s="14" t="s">
        <v>8</v>
      </c>
      <c r="B11" s="15">
        <f>PMT(B8/12,B10*12,B7)</f>
        <v>-12132.759435535692</v>
      </c>
      <c r="E11" s="6" t="s">
        <v>12</v>
      </c>
    </row>
    <row r="12" spans="1:6" ht="13.5" thickBot="1">
      <c r="A12" s="16" t="s">
        <v>11</v>
      </c>
      <c r="B12" s="17">
        <f>PMT((B8-B9)/12,B10*12,B7)</f>
        <v>-11102.050194164944</v>
      </c>
      <c r="E12" t="s">
        <v>4</v>
      </c>
      <c r="F12" s="2">
        <f>IPMT((B8-B9)/12,60,B10*12,B7)</f>
        <v>-2912.2478705201984</v>
      </c>
    </row>
    <row r="13" spans="1:6">
      <c r="B13" s="7"/>
      <c r="E13" t="s">
        <v>6</v>
      </c>
      <c r="F13" s="2">
        <f>PPMT((B8-B9)/12,60,B10*12,B7)</f>
        <v>-8189.8023236447443</v>
      </c>
    </row>
    <row r="14" spans="1:6">
      <c r="E14" s="5" t="s">
        <v>7</v>
      </c>
      <c r="F14" s="2">
        <f>+F13+F12</f>
        <v>-11102.050194164942</v>
      </c>
    </row>
    <row r="15" spans="1:6">
      <c r="F15" s="2"/>
    </row>
    <row r="16" spans="1:6">
      <c r="E16" s="6" t="s">
        <v>13</v>
      </c>
    </row>
    <row r="17" spans="1:6">
      <c r="E17" t="s">
        <v>4</v>
      </c>
      <c r="F17" s="2">
        <f>IPMT((B8-B9)/12,119,B10*12,B7)</f>
        <v>-110.19336471523337</v>
      </c>
    </row>
    <row r="18" spans="1:6">
      <c r="E18" t="s">
        <v>6</v>
      </c>
      <c r="F18" s="2">
        <f>PPMT((B8-B9)/12,119,B10*12,B7)</f>
        <v>-10991.856829449709</v>
      </c>
    </row>
    <row r="19" spans="1:6">
      <c r="E19" s="5" t="s">
        <v>7</v>
      </c>
      <c r="F19" s="2">
        <f>+F18+F17</f>
        <v>-11102.050194164942</v>
      </c>
    </row>
    <row r="20" spans="1:6">
      <c r="F20" s="2"/>
    </row>
    <row r="21" spans="1:6">
      <c r="B21" s="2"/>
    </row>
    <row r="25" spans="1:6">
      <c r="A25" s="18"/>
    </row>
    <row r="29" spans="1:6">
      <c r="A29" s="18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H16"/>
  <sheetViews>
    <sheetView workbookViewId="0"/>
  </sheetViews>
  <sheetFormatPr defaultRowHeight="15"/>
  <cols>
    <col min="1" max="1" width="9.140625" style="19"/>
    <col min="2" max="2" width="14.5703125" style="19" customWidth="1"/>
    <col min="3" max="5" width="16.85546875" style="19" bestFit="1" customWidth="1"/>
    <col min="6" max="6" width="9.140625" style="19"/>
    <col min="7" max="7" width="25.85546875" style="19" bestFit="1" customWidth="1"/>
    <col min="8" max="10" width="9.140625" style="19"/>
    <col min="11" max="11" width="16.85546875" style="19" bestFit="1" customWidth="1"/>
    <col min="12" max="16384" width="9.140625" style="19"/>
  </cols>
  <sheetData>
    <row r="3" spans="2:8">
      <c r="B3" s="34" t="s">
        <v>59</v>
      </c>
      <c r="C3" s="34" t="s">
        <v>14</v>
      </c>
      <c r="D3" s="34" t="s">
        <v>15</v>
      </c>
      <c r="E3" s="34" t="s">
        <v>16</v>
      </c>
      <c r="G3" s="57" t="s">
        <v>74</v>
      </c>
      <c r="H3" s="57"/>
    </row>
    <row r="4" spans="2:8">
      <c r="B4" s="46" t="s">
        <v>73</v>
      </c>
      <c r="C4" s="24">
        <v>-25000000</v>
      </c>
      <c r="D4" s="24">
        <v>-25000000</v>
      </c>
      <c r="E4" s="24">
        <v>-25000000</v>
      </c>
    </row>
    <row r="5" spans="2:8">
      <c r="B5" s="46">
        <v>1</v>
      </c>
      <c r="C5" s="52">
        <v>10000000</v>
      </c>
      <c r="D5" s="52">
        <v>4000000</v>
      </c>
      <c r="E5" s="52">
        <v>1000000</v>
      </c>
      <c r="G5" s="29" t="s">
        <v>75</v>
      </c>
      <c r="H5" s="37">
        <v>0.03</v>
      </c>
    </row>
    <row r="6" spans="2:8">
      <c r="B6" s="46">
        <v>2</v>
      </c>
      <c r="C6" s="52">
        <v>10000000</v>
      </c>
      <c r="D6" s="52">
        <v>5000000</v>
      </c>
      <c r="E6" s="52">
        <v>2000000</v>
      </c>
      <c r="G6" s="29" t="s">
        <v>76</v>
      </c>
      <c r="H6" s="53">
        <v>0.11</v>
      </c>
    </row>
    <row r="7" spans="2:8">
      <c r="B7" s="46">
        <v>3</v>
      </c>
      <c r="C7" s="52">
        <v>5000000</v>
      </c>
      <c r="D7" s="52">
        <v>5000000</v>
      </c>
      <c r="E7" s="52">
        <v>3000000</v>
      </c>
      <c r="G7" s="29" t="s">
        <v>77</v>
      </c>
      <c r="H7" s="54">
        <v>6.5000000000000002E-2</v>
      </c>
    </row>
    <row r="8" spans="2:8">
      <c r="B8" s="46">
        <v>4</v>
      </c>
      <c r="C8" s="52">
        <v>5000000</v>
      </c>
      <c r="D8" s="52">
        <v>18000000</v>
      </c>
      <c r="E8" s="52">
        <v>4000000</v>
      </c>
    </row>
    <row r="9" spans="2:8">
      <c r="B9" s="46">
        <v>5</v>
      </c>
      <c r="C9" s="52">
        <v>4000000</v>
      </c>
      <c r="D9" s="52">
        <v>5000000</v>
      </c>
      <c r="E9" s="52">
        <v>7000000</v>
      </c>
    </row>
    <row r="10" spans="2:8">
      <c r="B10" s="49">
        <v>6</v>
      </c>
      <c r="C10" s="55">
        <v>4000000</v>
      </c>
      <c r="D10" s="55">
        <v>4000000</v>
      </c>
      <c r="E10" s="55">
        <v>25000000</v>
      </c>
    </row>
    <row r="11" spans="2:8">
      <c r="C11" s="20"/>
    </row>
    <row r="13" spans="2:8">
      <c r="B13" s="19" t="s">
        <v>79</v>
      </c>
      <c r="C13" s="20">
        <f>SUM(C5:C10)+C4</f>
        <v>13000000</v>
      </c>
      <c r="D13" s="20">
        <f t="shared" ref="D13:E13" si="0">SUM(D5:D10)+D4</f>
        <v>16000000</v>
      </c>
      <c r="E13" s="20">
        <f t="shared" si="0"/>
        <v>17000000</v>
      </c>
    </row>
    <row r="14" spans="2:8">
      <c r="B14" s="19" t="s">
        <v>78</v>
      </c>
      <c r="C14" s="20">
        <f>NPV($H$5,C5:C10)+C4</f>
        <v>9953212.6560307294</v>
      </c>
      <c r="D14" s="20">
        <f t="shared" ref="D14:E14" si="1">NPV($H$5,D5:D10)+D4</f>
        <v>11827930.79920347</v>
      </c>
      <c r="E14" s="20">
        <f t="shared" si="1"/>
        <v>11130806.682178013</v>
      </c>
    </row>
    <row r="15" spans="2:8">
      <c r="B15" s="19" t="s">
        <v>80</v>
      </c>
      <c r="C15" s="39">
        <f>IRR(C4:C10)</f>
        <v>0.17049457144597646</v>
      </c>
      <c r="D15" s="39">
        <f t="shared" ref="D15:E15" si="2">IRR(D4:D10)</f>
        <v>0.15072349308909216</v>
      </c>
      <c r="E15" s="39">
        <f t="shared" si="2"/>
        <v>0.10884893051657984</v>
      </c>
    </row>
    <row r="16" spans="2:8">
      <c r="B16" s="19" t="s">
        <v>81</v>
      </c>
      <c r="C16" s="39">
        <f>MIRR(C4:C10,$H$6,$H$7)</f>
        <v>0.10911216201304752</v>
      </c>
      <c r="D16" s="39">
        <f t="shared" ref="D16:E16" si="3">MIRR(D4:D10,$H$6,$H$7)</f>
        <v>0.11366138698868555</v>
      </c>
      <c r="E16" s="39">
        <f t="shared" si="3"/>
        <v>0.10111377242616126</v>
      </c>
    </row>
  </sheetData>
  <mergeCells count="1">
    <mergeCell ref="G3:H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Úročení</vt:lpstr>
      <vt:lpstr>Hypotéka</vt:lpstr>
      <vt:lpstr>Mimořádné splátky</vt:lpstr>
      <vt:lpstr>Leasing</vt:lpstr>
      <vt:lpstr>Odpisy</vt:lpstr>
      <vt:lpstr>Půjčka-hypotéka</vt:lpstr>
      <vt:lpstr>Investice</vt:lpstr>
    </vt:vector>
  </TitlesOfParts>
  <Company>JUBELA,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Posluchač 04</cp:lastModifiedBy>
  <dcterms:created xsi:type="dcterms:W3CDTF">2003-05-30T09:35:58Z</dcterms:created>
  <dcterms:modified xsi:type="dcterms:W3CDTF">2019-08-08T17:28:59Z</dcterms:modified>
</cp:coreProperties>
</file>